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c9c35a74d3ddefd1/Desktop/Slide/Original/New/"/>
    </mc:Choice>
  </mc:AlternateContent>
  <xr:revisionPtr revIDLastSave="0" documentId="8_{7D17750C-B415-4731-86D1-D049274E8970}" xr6:coauthVersionLast="47" xr6:coauthVersionMax="47" xr10:uidLastSave="{00000000-0000-0000-0000-000000000000}"/>
  <bookViews>
    <workbookView xWindow="-110" yWindow="-110" windowWidth="19420" windowHeight="10300" tabRatio="628" xr2:uid="{00000000-000D-0000-FFFF-FFFF00000000}"/>
  </bookViews>
  <sheets>
    <sheet name="Revenue" sheetId="25" r:id="rId1"/>
    <sheet name="Sales" sheetId="14" r:id="rId2"/>
    <sheet name="Marketing" sheetId="18" r:id="rId3"/>
    <sheet name="IT" sheetId="20" r:id="rId4"/>
    <sheet name="HR" sheetId="19" r:id="rId5"/>
    <sheet name="Headcount" sheetId="21" r:id="rId6"/>
    <sheet name="Consolidated" sheetId="22" r:id="rId7"/>
    <sheet name="Graphs" sheetId="24" r:id="rId8"/>
  </sheets>
  <definedNames>
    <definedName name="factor">Sales!$C$18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2" i="24" l="1"/>
  <c r="E92" i="24"/>
  <c r="F92" i="24"/>
  <c r="G92" i="24"/>
  <c r="H92" i="24"/>
  <c r="I92" i="24"/>
  <c r="J92" i="24"/>
  <c r="K92" i="24"/>
  <c r="L92" i="24"/>
  <c r="M92" i="24"/>
  <c r="N92" i="24"/>
  <c r="O92" i="24"/>
  <c r="C92" i="24"/>
  <c r="B100" i="24"/>
  <c r="P20" i="22"/>
  <c r="Q20" i="22"/>
  <c r="E20" i="22"/>
  <c r="F20" i="22"/>
  <c r="G20" i="22"/>
  <c r="H20" i="22"/>
  <c r="I20" i="22"/>
  <c r="J20" i="22"/>
  <c r="K20" i="22"/>
  <c r="L20" i="22"/>
  <c r="M20" i="22"/>
  <c r="N20" i="22"/>
  <c r="O20" i="22"/>
  <c r="D20" i="22"/>
  <c r="D109" i="24"/>
  <c r="E109" i="24"/>
  <c r="F109" i="24"/>
  <c r="G109" i="24"/>
  <c r="H109" i="24"/>
  <c r="I109" i="24"/>
  <c r="J109" i="24"/>
  <c r="K109" i="24"/>
  <c r="L109" i="24"/>
  <c r="M109" i="24"/>
  <c r="N109" i="24"/>
  <c r="C109" i="24"/>
  <c r="E43" i="19"/>
  <c r="F43" i="19"/>
  <c r="G43" i="19"/>
  <c r="H43" i="19"/>
  <c r="I43" i="19"/>
  <c r="J43" i="19"/>
  <c r="K43" i="19"/>
  <c r="L43" i="19"/>
  <c r="M43" i="19"/>
  <c r="N43" i="19"/>
  <c r="O43" i="19"/>
  <c r="D43" i="19"/>
  <c r="E35" i="21"/>
  <c r="F35" i="21"/>
  <c r="G35" i="21"/>
  <c r="H35" i="21"/>
  <c r="I35" i="21"/>
  <c r="J35" i="21"/>
  <c r="K35" i="21"/>
  <c r="L35" i="21"/>
  <c r="M35" i="21"/>
  <c r="N35" i="21"/>
  <c r="O35" i="21"/>
  <c r="P35" i="21"/>
  <c r="D35" i="21"/>
  <c r="E46" i="19"/>
  <c r="F46" i="19"/>
  <c r="G46" i="19"/>
  <c r="H46" i="19"/>
  <c r="I46" i="19"/>
  <c r="J46" i="19"/>
  <c r="K46" i="19"/>
  <c r="L46" i="19"/>
  <c r="M46" i="19"/>
  <c r="N46" i="19"/>
  <c r="O46" i="19"/>
  <c r="D46" i="19"/>
  <c r="E45" i="19"/>
  <c r="F45" i="19"/>
  <c r="G45" i="19"/>
  <c r="H45" i="19"/>
  <c r="I45" i="19"/>
  <c r="J45" i="19"/>
  <c r="K45" i="19"/>
  <c r="L45" i="19"/>
  <c r="M45" i="19"/>
  <c r="N45" i="19"/>
  <c r="O45" i="19"/>
  <c r="D45" i="19"/>
  <c r="O55" i="19" l="1"/>
  <c r="N55" i="19"/>
  <c r="M55" i="19"/>
  <c r="L55" i="19"/>
  <c r="K55" i="19"/>
  <c r="J55" i="19"/>
  <c r="I55" i="19"/>
  <c r="H55" i="19"/>
  <c r="G55" i="19"/>
  <c r="F55" i="19"/>
  <c r="E55" i="19"/>
  <c r="D55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O66" i="20"/>
  <c r="N66" i="20"/>
  <c r="M66" i="20"/>
  <c r="L66" i="20"/>
  <c r="K66" i="20"/>
  <c r="J66" i="20"/>
  <c r="I66" i="20"/>
  <c r="H66" i="20"/>
  <c r="G66" i="20"/>
  <c r="F66" i="20"/>
  <c r="E66" i="20"/>
  <c r="D66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O64" i="20"/>
  <c r="N64" i="20"/>
  <c r="M64" i="20"/>
  <c r="L64" i="20"/>
  <c r="K64" i="20"/>
  <c r="J64" i="20"/>
  <c r="I64" i="20"/>
  <c r="H64" i="20"/>
  <c r="G64" i="20"/>
  <c r="F64" i="20"/>
  <c r="E64" i="20"/>
  <c r="D64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E53" i="18"/>
  <c r="F53" i="18"/>
  <c r="G53" i="18"/>
  <c r="H53" i="18"/>
  <c r="I53" i="18"/>
  <c r="J53" i="18"/>
  <c r="K53" i="18"/>
  <c r="L53" i="18"/>
  <c r="M53" i="18"/>
  <c r="N53" i="18"/>
  <c r="O53" i="18"/>
  <c r="D53" i="18"/>
  <c r="E52" i="18"/>
  <c r="F52" i="18"/>
  <c r="G52" i="18"/>
  <c r="H52" i="18"/>
  <c r="I52" i="18"/>
  <c r="J52" i="18"/>
  <c r="K52" i="18"/>
  <c r="L52" i="18"/>
  <c r="M52" i="18"/>
  <c r="N52" i="18"/>
  <c r="O52" i="18"/>
  <c r="D52" i="18"/>
  <c r="E51" i="18"/>
  <c r="F51" i="18"/>
  <c r="G51" i="18"/>
  <c r="H51" i="18"/>
  <c r="I51" i="18"/>
  <c r="J51" i="18"/>
  <c r="K51" i="18"/>
  <c r="L51" i="18"/>
  <c r="M51" i="18"/>
  <c r="N51" i="18"/>
  <c r="O51" i="18"/>
  <c r="D51" i="18"/>
  <c r="E58" i="18"/>
  <c r="F58" i="18"/>
  <c r="G58" i="18"/>
  <c r="H58" i="18"/>
  <c r="I58" i="18"/>
  <c r="J58" i="18"/>
  <c r="K58" i="18"/>
  <c r="L58" i="18"/>
  <c r="M58" i="18"/>
  <c r="N58" i="18"/>
  <c r="O58" i="18"/>
  <c r="E59" i="18"/>
  <c r="F59" i="18"/>
  <c r="G59" i="18"/>
  <c r="H59" i="18"/>
  <c r="I59" i="18"/>
  <c r="J59" i="18"/>
  <c r="K59" i="18"/>
  <c r="L59" i="18"/>
  <c r="M59" i="18"/>
  <c r="N59" i="18"/>
  <c r="O59" i="18"/>
  <c r="E60" i="18"/>
  <c r="F60" i="18"/>
  <c r="G60" i="18"/>
  <c r="H60" i="18"/>
  <c r="I60" i="18"/>
  <c r="J60" i="18"/>
  <c r="K60" i="18"/>
  <c r="L60" i="18"/>
  <c r="M60" i="18"/>
  <c r="N60" i="18"/>
  <c r="O60" i="18"/>
  <c r="E61" i="18"/>
  <c r="F61" i="18"/>
  <c r="G61" i="18"/>
  <c r="H61" i="18"/>
  <c r="I61" i="18"/>
  <c r="J61" i="18"/>
  <c r="K61" i="18"/>
  <c r="L61" i="18"/>
  <c r="M61" i="18"/>
  <c r="N61" i="18"/>
  <c r="O61" i="18"/>
  <c r="E62" i="18"/>
  <c r="F62" i="18"/>
  <c r="G62" i="18"/>
  <c r="H62" i="18"/>
  <c r="I62" i="18"/>
  <c r="J62" i="18"/>
  <c r="K62" i="18"/>
  <c r="L62" i="18"/>
  <c r="M62" i="18"/>
  <c r="N62" i="18"/>
  <c r="O62" i="18"/>
  <c r="D62" i="18"/>
  <c r="D61" i="18"/>
  <c r="D60" i="18"/>
  <c r="D59" i="18"/>
  <c r="D58" i="18"/>
  <c r="D54" i="18"/>
  <c r="E54" i="18" s="1"/>
  <c r="F54" i="18" s="1"/>
  <c r="G54" i="18" s="1"/>
  <c r="H54" i="18" s="1"/>
  <c r="I54" i="18" s="1"/>
  <c r="J54" i="18" s="1"/>
  <c r="K54" i="18" s="1"/>
  <c r="L54" i="18" s="1"/>
  <c r="M54" i="18" s="1"/>
  <c r="N54" i="18" s="1"/>
  <c r="O54" i="18" s="1"/>
  <c r="O50" i="18"/>
  <c r="N50" i="18"/>
  <c r="M50" i="18"/>
  <c r="L50" i="18"/>
  <c r="K50" i="18"/>
  <c r="J50" i="18"/>
  <c r="I50" i="18"/>
  <c r="H50" i="18"/>
  <c r="G50" i="18"/>
  <c r="F50" i="18"/>
  <c r="E50" i="18"/>
  <c r="D50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O37" i="14"/>
  <c r="N37" i="14"/>
  <c r="M37" i="14"/>
  <c r="L37" i="14"/>
  <c r="K37" i="14"/>
  <c r="J37" i="14"/>
  <c r="I37" i="14"/>
  <c r="H37" i="14"/>
  <c r="G37" i="14"/>
  <c r="F37" i="14"/>
  <c r="E37" i="14"/>
  <c r="D37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18" i="14"/>
  <c r="P6" i="14"/>
  <c r="P9" i="14" s="1"/>
  <c r="P7" i="14"/>
  <c r="P8" i="14"/>
  <c r="P5" i="14"/>
  <c r="O7" i="14"/>
  <c r="O6" i="14"/>
  <c r="M7" i="14"/>
  <c r="N7" i="14" s="1"/>
  <c r="M6" i="14"/>
  <c r="N6" i="14" s="1"/>
  <c r="K7" i="14"/>
  <c r="L7" i="14" s="1"/>
  <c r="K6" i="14"/>
  <c r="L6" i="14" s="1"/>
  <c r="I7" i="14"/>
  <c r="J7" i="14" s="1"/>
  <c r="I6" i="14"/>
  <c r="J6" i="14" s="1"/>
  <c r="G7" i="14"/>
  <c r="H7" i="14" s="1"/>
  <c r="G6" i="14"/>
  <c r="H6" i="14" s="1"/>
  <c r="F7" i="14"/>
  <c r="F6" i="14"/>
  <c r="E7" i="14"/>
  <c r="E6" i="14"/>
  <c r="D7" i="14"/>
  <c r="D8" i="14"/>
  <c r="D6" i="14"/>
  <c r="E24" i="14"/>
  <c r="F24" i="14"/>
  <c r="G24" i="14"/>
  <c r="H24" i="14"/>
  <c r="I24" i="14"/>
  <c r="J24" i="14"/>
  <c r="K24" i="14"/>
  <c r="L24" i="14"/>
  <c r="M24" i="14"/>
  <c r="N24" i="14"/>
  <c r="O24" i="14"/>
  <c r="D24" i="14"/>
  <c r="D23" i="14"/>
  <c r="C9" i="14"/>
  <c r="P21" i="14"/>
  <c r="D4" i="14"/>
  <c r="D21" i="14" s="1"/>
  <c r="P60" i="19" l="1"/>
  <c r="O66" i="19"/>
  <c r="N66" i="19"/>
  <c r="M66" i="19"/>
  <c r="L66" i="19"/>
  <c r="K66" i="19"/>
  <c r="J66" i="19"/>
  <c r="I66" i="19"/>
  <c r="H66" i="19"/>
  <c r="G66" i="19"/>
  <c r="F66" i="19"/>
  <c r="E66" i="19"/>
  <c r="D66" i="19"/>
  <c r="B66" i="19"/>
  <c r="P65" i="19"/>
  <c r="P64" i="19"/>
  <c r="P63" i="19"/>
  <c r="P62" i="19"/>
  <c r="P61" i="19"/>
  <c r="C43" i="19"/>
  <c r="B56" i="19"/>
  <c r="O56" i="19"/>
  <c r="N56" i="19"/>
  <c r="L56" i="19"/>
  <c r="K56" i="19"/>
  <c r="J56" i="19"/>
  <c r="H56" i="19"/>
  <c r="G56" i="19"/>
  <c r="F56" i="19"/>
  <c r="D56" i="19"/>
  <c r="B48" i="19"/>
  <c r="P26" i="19"/>
  <c r="C57" i="20"/>
  <c r="P27" i="20"/>
  <c r="P66" i="19" l="1"/>
  <c r="P44" i="19"/>
  <c r="I56" i="19"/>
  <c r="E56" i="19"/>
  <c r="M56" i="19"/>
  <c r="P52" i="19"/>
  <c r="P53" i="19"/>
  <c r="P54" i="19"/>
  <c r="P55" i="19"/>
  <c r="P51" i="19"/>
  <c r="P62" i="20"/>
  <c r="B59" i="18"/>
  <c r="B60" i="18"/>
  <c r="B61" i="18"/>
  <c r="B62" i="18"/>
  <c r="B58" i="18"/>
  <c r="P59" i="14"/>
  <c r="E64" i="14"/>
  <c r="F64" i="14"/>
  <c r="G64" i="14"/>
  <c r="H64" i="14"/>
  <c r="I64" i="14"/>
  <c r="J64" i="14"/>
  <c r="K64" i="14"/>
  <c r="L64" i="14"/>
  <c r="M64" i="14"/>
  <c r="N64" i="14"/>
  <c r="O64" i="14"/>
  <c r="D64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E49" i="14"/>
  <c r="F49" i="14"/>
  <c r="G49" i="14"/>
  <c r="H49" i="14"/>
  <c r="I49" i="14"/>
  <c r="J49" i="14"/>
  <c r="K49" i="14"/>
  <c r="L49" i="14"/>
  <c r="M49" i="14"/>
  <c r="N49" i="14"/>
  <c r="O49" i="14"/>
  <c r="D49" i="14"/>
  <c r="C55" i="18"/>
  <c r="P33" i="18"/>
  <c r="B64" i="14"/>
  <c r="P63" i="14"/>
  <c r="P62" i="14"/>
  <c r="P61" i="14"/>
  <c r="P60" i="14"/>
  <c r="E54" i="14"/>
  <c r="B54" i="14"/>
  <c r="B46" i="14"/>
  <c r="P56" i="19" l="1"/>
  <c r="P51" i="14"/>
  <c r="D54" i="14"/>
  <c r="P50" i="14"/>
  <c r="P53" i="14"/>
  <c r="P52" i="14"/>
  <c r="P49" i="14"/>
  <c r="P64" i="14"/>
  <c r="G54" i="14"/>
  <c r="F54" i="14"/>
  <c r="D55" i="18"/>
  <c r="P24" i="14"/>
  <c r="P54" i="14" l="1"/>
  <c r="H54" i="14"/>
  <c r="F55" i="18"/>
  <c r="E55" i="18"/>
  <c r="G55" i="18"/>
  <c r="I54" i="14" l="1"/>
  <c r="H55" i="18"/>
  <c r="J54" i="14" l="1"/>
  <c r="I55" i="18"/>
  <c r="D4" i="19"/>
  <c r="D23" i="19" s="1"/>
  <c r="D60" i="19" s="1"/>
  <c r="C26" i="25"/>
  <c r="C25" i="25"/>
  <c r="C24" i="25"/>
  <c r="C23" i="25"/>
  <c r="C22" i="25"/>
  <c r="K54" i="14" l="1"/>
  <c r="J55" i="18"/>
  <c r="D4" i="21"/>
  <c r="D4" i="20"/>
  <c r="D24" i="20" s="1"/>
  <c r="D4" i="18"/>
  <c r="D30" i="18" s="1"/>
  <c r="D67" i="18"/>
  <c r="B7" i="22"/>
  <c r="B8" i="22"/>
  <c r="B9" i="22"/>
  <c r="B10" i="22"/>
  <c r="B6" i="22"/>
  <c r="L54" i="14" l="1"/>
  <c r="K55" i="18"/>
  <c r="C27" i="25"/>
  <c r="P21" i="25"/>
  <c r="D21" i="25"/>
  <c r="D29" i="25" s="1"/>
  <c r="C18" i="25"/>
  <c r="D17" i="25"/>
  <c r="B17" i="25"/>
  <c r="B26" i="25" s="1"/>
  <c r="D16" i="25"/>
  <c r="D25" i="25" s="1"/>
  <c r="B16" i="25"/>
  <c r="B25" i="25" s="1"/>
  <c r="D15" i="25"/>
  <c r="D24" i="25" s="1"/>
  <c r="B15" i="25"/>
  <c r="B24" i="25" s="1"/>
  <c r="D14" i="25"/>
  <c r="E14" i="25" s="1"/>
  <c r="B14" i="25"/>
  <c r="B23" i="25" s="1"/>
  <c r="D13" i="25"/>
  <c r="D22" i="25" s="1"/>
  <c r="B13" i="25"/>
  <c r="B22" i="25" s="1"/>
  <c r="E12" i="25"/>
  <c r="E10" i="25"/>
  <c r="F10" i="25" s="1"/>
  <c r="G10" i="25" s="1"/>
  <c r="H10" i="25" s="1"/>
  <c r="I10" i="25" s="1"/>
  <c r="J10" i="25" s="1"/>
  <c r="K10" i="25" s="1"/>
  <c r="L10" i="25" s="1"/>
  <c r="M10" i="25" s="1"/>
  <c r="N10" i="25" s="1"/>
  <c r="O10" i="25" s="1"/>
  <c r="E21" i="25" l="1"/>
  <c r="E29" i="25" s="1"/>
  <c r="E4" i="14"/>
  <c r="E21" i="14" s="1"/>
  <c r="E4" i="19"/>
  <c r="E23" i="19" s="1"/>
  <c r="E60" i="19" s="1"/>
  <c r="E4" i="21"/>
  <c r="E4" i="20"/>
  <c r="E24" i="20" s="1"/>
  <c r="E4" i="18"/>
  <c r="E30" i="18" s="1"/>
  <c r="E67" i="18"/>
  <c r="M54" i="14"/>
  <c r="L55" i="18"/>
  <c r="E15" i="25"/>
  <c r="F15" i="25" s="1"/>
  <c r="F12" i="25"/>
  <c r="B32" i="25"/>
  <c r="D33" i="25"/>
  <c r="B34" i="25"/>
  <c r="B31" i="25"/>
  <c r="F14" i="25"/>
  <c r="E23" i="25"/>
  <c r="E24" i="25"/>
  <c r="G12" i="25"/>
  <c r="D30" i="25"/>
  <c r="B33" i="25"/>
  <c r="D23" i="25"/>
  <c r="E13" i="25"/>
  <c r="E17" i="25"/>
  <c r="B30" i="25"/>
  <c r="D18" i="25"/>
  <c r="E16" i="25"/>
  <c r="D32" i="25"/>
  <c r="D26" i="25"/>
  <c r="D27" i="25" s="1"/>
  <c r="G4" i="14" l="1"/>
  <c r="G21" i="14" s="1"/>
  <c r="G4" i="19"/>
  <c r="G23" i="19" s="1"/>
  <c r="G60" i="19" s="1"/>
  <c r="G4" i="21"/>
  <c r="G4" i="20"/>
  <c r="G24" i="20" s="1"/>
  <c r="G4" i="18"/>
  <c r="G30" i="18" s="1"/>
  <c r="G67" i="18"/>
  <c r="F21" i="25"/>
  <c r="F29" i="25" s="1"/>
  <c r="F4" i="14"/>
  <c r="F21" i="14" s="1"/>
  <c r="F4" i="19"/>
  <c r="F23" i="19" s="1"/>
  <c r="F60" i="19" s="1"/>
  <c r="F4" i="21"/>
  <c r="F4" i="20"/>
  <c r="F24" i="20" s="1"/>
  <c r="F4" i="18"/>
  <c r="F30" i="18" s="1"/>
  <c r="F67" i="18"/>
  <c r="O54" i="14"/>
  <c r="N54" i="14"/>
  <c r="M55" i="18"/>
  <c r="G14" i="25"/>
  <c r="F23" i="25"/>
  <c r="F13" i="25"/>
  <c r="E22" i="25"/>
  <c r="E18" i="25"/>
  <c r="E32" i="25"/>
  <c r="F17" i="25"/>
  <c r="E26" i="25"/>
  <c r="D31" i="25"/>
  <c r="F24" i="25"/>
  <c r="G15" i="25"/>
  <c r="D34" i="25"/>
  <c r="F16" i="25"/>
  <c r="E25" i="25"/>
  <c r="G21" i="25"/>
  <c r="G29" i="25" s="1"/>
  <c r="H12" i="25"/>
  <c r="E31" i="25"/>
  <c r="C20" i="21"/>
  <c r="C16" i="21"/>
  <c r="P13" i="21"/>
  <c r="C13" i="21"/>
  <c r="D32" i="18"/>
  <c r="H4" i="14" l="1"/>
  <c r="H21" i="14" s="1"/>
  <c r="H4" i="19"/>
  <c r="H23" i="19" s="1"/>
  <c r="H60" i="19" s="1"/>
  <c r="H4" i="21"/>
  <c r="H4" i="20"/>
  <c r="H24" i="20" s="1"/>
  <c r="H4" i="18"/>
  <c r="H30" i="18" s="1"/>
  <c r="H67" i="18"/>
  <c r="O55" i="18"/>
  <c r="N55" i="18"/>
  <c r="P54" i="18"/>
  <c r="I12" i="25"/>
  <c r="H21" i="25"/>
  <c r="H29" i="25" s="1"/>
  <c r="F25" i="25"/>
  <c r="G16" i="25"/>
  <c r="E34" i="25"/>
  <c r="D35" i="25"/>
  <c r="F31" i="25"/>
  <c r="E33" i="25"/>
  <c r="H15" i="25"/>
  <c r="G24" i="25"/>
  <c r="F26" i="25"/>
  <c r="G17" i="25"/>
  <c r="E30" i="25"/>
  <c r="E27" i="25"/>
  <c r="F32" i="25"/>
  <c r="F22" i="25"/>
  <c r="F18" i="25"/>
  <c r="G13" i="25"/>
  <c r="H14" i="25"/>
  <c r="G23" i="25"/>
  <c r="P21" i="22"/>
  <c r="I4" i="14" l="1"/>
  <c r="I21" i="14" s="1"/>
  <c r="I4" i="19"/>
  <c r="I23" i="19" s="1"/>
  <c r="I60" i="19" s="1"/>
  <c r="I4" i="21"/>
  <c r="I4" i="20"/>
  <c r="I24" i="20" s="1"/>
  <c r="I4" i="18"/>
  <c r="I30" i="18" s="1"/>
  <c r="I67" i="18"/>
  <c r="O109" i="24"/>
  <c r="I15" i="25"/>
  <c r="H24" i="25"/>
  <c r="G31" i="25"/>
  <c r="H13" i="25"/>
  <c r="G22" i="25"/>
  <c r="G18" i="25"/>
  <c r="H17" i="25"/>
  <c r="G26" i="25"/>
  <c r="H23" i="25"/>
  <c r="I14" i="25"/>
  <c r="F34" i="25"/>
  <c r="G32" i="25"/>
  <c r="G25" i="25"/>
  <c r="H16" i="25"/>
  <c r="F27" i="25"/>
  <c r="F30" i="25"/>
  <c r="E35" i="25"/>
  <c r="F33" i="25"/>
  <c r="I21" i="25"/>
  <c r="I29" i="25" s="1"/>
  <c r="J12" i="25"/>
  <c r="B123" i="24"/>
  <c r="B129" i="24" s="1"/>
  <c r="B125" i="24"/>
  <c r="B130" i="24" s="1"/>
  <c r="B124" i="24"/>
  <c r="B131" i="24" s="1"/>
  <c r="B122" i="24"/>
  <c r="B128" i="24" s="1"/>
  <c r="B115" i="24"/>
  <c r="B116" i="24"/>
  <c r="B117" i="24"/>
  <c r="B114" i="24"/>
  <c r="B109" i="24"/>
  <c r="B118" i="24" s="1"/>
  <c r="B101" i="24"/>
  <c r="B98" i="24"/>
  <c r="D87" i="24"/>
  <c r="D95" i="24" s="1"/>
  <c r="D104" i="24" s="1"/>
  <c r="D113" i="24" s="1"/>
  <c r="D121" i="24" s="1"/>
  <c r="D127" i="24" s="1"/>
  <c r="E87" i="24"/>
  <c r="E95" i="24" s="1"/>
  <c r="E104" i="24" s="1"/>
  <c r="E113" i="24" s="1"/>
  <c r="E121" i="24" s="1"/>
  <c r="E127" i="24" s="1"/>
  <c r="F87" i="24"/>
  <c r="F95" i="24" s="1"/>
  <c r="F104" i="24" s="1"/>
  <c r="F113" i="24" s="1"/>
  <c r="F121" i="24" s="1"/>
  <c r="F127" i="24" s="1"/>
  <c r="G87" i="24"/>
  <c r="G95" i="24" s="1"/>
  <c r="G104" i="24" s="1"/>
  <c r="G113" i="24" s="1"/>
  <c r="G121" i="24" s="1"/>
  <c r="G127" i="24" s="1"/>
  <c r="H87" i="24"/>
  <c r="H95" i="24" s="1"/>
  <c r="H104" i="24" s="1"/>
  <c r="H113" i="24" s="1"/>
  <c r="H121" i="24" s="1"/>
  <c r="H127" i="24" s="1"/>
  <c r="I87" i="24"/>
  <c r="I95" i="24" s="1"/>
  <c r="I104" i="24" s="1"/>
  <c r="I113" i="24" s="1"/>
  <c r="I121" i="24" s="1"/>
  <c r="I127" i="24" s="1"/>
  <c r="J87" i="24"/>
  <c r="J95" i="24" s="1"/>
  <c r="J104" i="24" s="1"/>
  <c r="J113" i="24" s="1"/>
  <c r="J121" i="24" s="1"/>
  <c r="J127" i="24" s="1"/>
  <c r="K87" i="24"/>
  <c r="K95" i="24" s="1"/>
  <c r="K104" i="24" s="1"/>
  <c r="K113" i="24" s="1"/>
  <c r="K121" i="24" s="1"/>
  <c r="K127" i="24" s="1"/>
  <c r="L87" i="24"/>
  <c r="L95" i="24" s="1"/>
  <c r="L104" i="24" s="1"/>
  <c r="L113" i="24" s="1"/>
  <c r="L121" i="24" s="1"/>
  <c r="L127" i="24" s="1"/>
  <c r="M87" i="24"/>
  <c r="M95" i="24" s="1"/>
  <c r="M104" i="24" s="1"/>
  <c r="M113" i="24" s="1"/>
  <c r="M121" i="24" s="1"/>
  <c r="M127" i="24" s="1"/>
  <c r="N87" i="24"/>
  <c r="N95" i="24" s="1"/>
  <c r="N104" i="24" s="1"/>
  <c r="N113" i="24" s="1"/>
  <c r="N121" i="24" s="1"/>
  <c r="N127" i="24" s="1"/>
  <c r="O87" i="24"/>
  <c r="O95" i="24" s="1"/>
  <c r="O104" i="24" s="1"/>
  <c r="O113" i="24" s="1"/>
  <c r="C87" i="24"/>
  <c r="C95" i="24" s="1"/>
  <c r="C104" i="24" s="1"/>
  <c r="C113" i="24" s="1"/>
  <c r="C121" i="24" s="1"/>
  <c r="C127" i="24" s="1"/>
  <c r="B89" i="24"/>
  <c r="B97" i="24" s="1"/>
  <c r="B91" i="24"/>
  <c r="B99" i="24" s="1"/>
  <c r="B88" i="24"/>
  <c r="B96" i="24" s="1"/>
  <c r="J4" i="14" l="1"/>
  <c r="J21" i="14" s="1"/>
  <c r="J4" i="19"/>
  <c r="J23" i="19" s="1"/>
  <c r="J60" i="19" s="1"/>
  <c r="J4" i="21"/>
  <c r="J4" i="20"/>
  <c r="J24" i="20" s="1"/>
  <c r="J4" i="18"/>
  <c r="J30" i="18" s="1"/>
  <c r="J67" i="18"/>
  <c r="K12" i="25"/>
  <c r="J21" i="25"/>
  <c r="J29" i="25" s="1"/>
  <c r="G33" i="25"/>
  <c r="H31" i="25"/>
  <c r="G30" i="25"/>
  <c r="G27" i="25"/>
  <c r="I24" i="25"/>
  <c r="J15" i="25"/>
  <c r="G34" i="25"/>
  <c r="H18" i="25"/>
  <c r="H22" i="25"/>
  <c r="I13" i="25"/>
  <c r="F35" i="25"/>
  <c r="H26" i="25"/>
  <c r="I17" i="25"/>
  <c r="H25" i="25"/>
  <c r="I16" i="25"/>
  <c r="J14" i="25"/>
  <c r="I23" i="25"/>
  <c r="H32" i="25"/>
  <c r="K4" i="14" l="1"/>
  <c r="K21" i="14" s="1"/>
  <c r="K4" i="19"/>
  <c r="K23" i="19" s="1"/>
  <c r="K60" i="19" s="1"/>
  <c r="K4" i="21"/>
  <c r="K4" i="20"/>
  <c r="K24" i="20" s="1"/>
  <c r="K4" i="18"/>
  <c r="K30" i="18" s="1"/>
  <c r="K67" i="18"/>
  <c r="I32" i="25"/>
  <c r="I26" i="25"/>
  <c r="J17" i="25"/>
  <c r="I31" i="25"/>
  <c r="H34" i="25"/>
  <c r="G35" i="25"/>
  <c r="H33" i="25"/>
  <c r="H30" i="25"/>
  <c r="H27" i="25"/>
  <c r="J23" i="25"/>
  <c r="K14" i="25"/>
  <c r="J16" i="25"/>
  <c r="I25" i="25"/>
  <c r="J13" i="25"/>
  <c r="I18" i="25"/>
  <c r="I22" i="25"/>
  <c r="J24" i="25"/>
  <c r="K15" i="25"/>
  <c r="K21" i="25"/>
  <c r="K29" i="25" s="1"/>
  <c r="L12" i="25"/>
  <c r="P31" i="22"/>
  <c r="L4" i="14" l="1"/>
  <c r="L21" i="14" s="1"/>
  <c r="L4" i="19"/>
  <c r="L23" i="19" s="1"/>
  <c r="L60" i="19" s="1"/>
  <c r="L4" i="21"/>
  <c r="L4" i="20"/>
  <c r="L24" i="20" s="1"/>
  <c r="L4" i="18"/>
  <c r="L30" i="18" s="1"/>
  <c r="L67" i="18"/>
  <c r="L15" i="25"/>
  <c r="K24" i="25"/>
  <c r="L14" i="25"/>
  <c r="K23" i="25"/>
  <c r="K16" i="25"/>
  <c r="J25" i="25"/>
  <c r="H35" i="25"/>
  <c r="M12" i="25"/>
  <c r="L21" i="25"/>
  <c r="L29" i="25" s="1"/>
  <c r="J22" i="25"/>
  <c r="J18" i="25"/>
  <c r="K13" i="25"/>
  <c r="I33" i="25"/>
  <c r="I34" i="25"/>
  <c r="J32" i="25"/>
  <c r="J31" i="25"/>
  <c r="I27" i="25"/>
  <c r="I30" i="25"/>
  <c r="K17" i="25"/>
  <c r="J26" i="25"/>
  <c r="M4" i="14" l="1"/>
  <c r="M21" i="14" s="1"/>
  <c r="M4" i="19"/>
  <c r="M23" i="19" s="1"/>
  <c r="M60" i="19" s="1"/>
  <c r="M4" i="21"/>
  <c r="M4" i="20"/>
  <c r="M24" i="20" s="1"/>
  <c r="M4" i="18"/>
  <c r="M30" i="18" s="1"/>
  <c r="M67" i="18"/>
  <c r="M21" i="25"/>
  <c r="M29" i="25" s="1"/>
  <c r="N12" i="25"/>
  <c r="M15" i="25"/>
  <c r="L24" i="25"/>
  <c r="J27" i="25"/>
  <c r="J30" i="25"/>
  <c r="J33" i="25"/>
  <c r="K31" i="25"/>
  <c r="J34" i="25"/>
  <c r="L17" i="25"/>
  <c r="K26" i="25"/>
  <c r="I35" i="25"/>
  <c r="L13" i="25"/>
  <c r="K22" i="25"/>
  <c r="K18" i="25"/>
  <c r="K25" i="25"/>
  <c r="L16" i="25"/>
  <c r="L23" i="25"/>
  <c r="M14" i="25"/>
  <c r="K32" i="25"/>
  <c r="N4" i="14" l="1"/>
  <c r="N21" i="14" s="1"/>
  <c r="N4" i="19"/>
  <c r="N23" i="19" s="1"/>
  <c r="N60" i="19" s="1"/>
  <c r="N4" i="21"/>
  <c r="N4" i="20"/>
  <c r="N24" i="20" s="1"/>
  <c r="N4" i="18"/>
  <c r="N30" i="18" s="1"/>
  <c r="N67" i="18"/>
  <c r="L31" i="25"/>
  <c r="L22" i="25"/>
  <c r="M13" i="25"/>
  <c r="L18" i="25"/>
  <c r="K33" i="25"/>
  <c r="K34" i="25"/>
  <c r="L32" i="25"/>
  <c r="O12" i="25"/>
  <c r="N21" i="25"/>
  <c r="N29" i="25" s="1"/>
  <c r="L26" i="25"/>
  <c r="M17" i="25"/>
  <c r="J35" i="25"/>
  <c r="M24" i="25"/>
  <c r="N15" i="25"/>
  <c r="N14" i="25"/>
  <c r="M23" i="25"/>
  <c r="L25" i="25"/>
  <c r="M16" i="25"/>
  <c r="K30" i="25"/>
  <c r="K27" i="25"/>
  <c r="O21" i="25" l="1"/>
  <c r="O29" i="25" s="1"/>
  <c r="O4" i="14"/>
  <c r="O21" i="14" s="1"/>
  <c r="O4" i="19"/>
  <c r="O23" i="19" s="1"/>
  <c r="O60" i="19" s="1"/>
  <c r="O4" i="21"/>
  <c r="O4" i="20"/>
  <c r="O24" i="20" s="1"/>
  <c r="O4" i="18"/>
  <c r="O30" i="18" s="1"/>
  <c r="O67" i="18"/>
  <c r="M26" i="25"/>
  <c r="N17" i="25"/>
  <c r="M18" i="25"/>
  <c r="N13" i="25"/>
  <c r="M22" i="25"/>
  <c r="N16" i="25"/>
  <c r="M25" i="25"/>
  <c r="M31" i="25"/>
  <c r="M32" i="25"/>
  <c r="L34" i="25"/>
  <c r="L30" i="25"/>
  <c r="L27" i="25"/>
  <c r="L33" i="25"/>
  <c r="N23" i="25"/>
  <c r="O14" i="25"/>
  <c r="K35" i="25"/>
  <c r="N24" i="25"/>
  <c r="O15" i="25"/>
  <c r="P14" i="25" l="1"/>
  <c r="O23" i="25"/>
  <c r="P15" i="25"/>
  <c r="O24" i="25"/>
  <c r="N31" i="25"/>
  <c r="O16" i="25"/>
  <c r="N25" i="25"/>
  <c r="M27" i="25"/>
  <c r="M30" i="25"/>
  <c r="N32" i="25"/>
  <c r="N22" i="25"/>
  <c r="N18" i="25"/>
  <c r="O13" i="25"/>
  <c r="O17" i="25"/>
  <c r="N26" i="25"/>
  <c r="L35" i="25"/>
  <c r="M33" i="25"/>
  <c r="M34" i="25"/>
  <c r="P17" i="25" l="1"/>
  <c r="O26" i="25"/>
  <c r="N27" i="25"/>
  <c r="N30" i="25"/>
  <c r="O32" i="25"/>
  <c r="P32" i="25" s="1"/>
  <c r="P24" i="25"/>
  <c r="N33" i="25"/>
  <c r="N34" i="25"/>
  <c r="P13" i="25"/>
  <c r="O22" i="25"/>
  <c r="O18" i="25"/>
  <c r="P18" i="25" s="1"/>
  <c r="M35" i="25"/>
  <c r="O25" i="25"/>
  <c r="P16" i="25"/>
  <c r="O31" i="25"/>
  <c r="P31" i="25" s="1"/>
  <c r="P23" i="25"/>
  <c r="N35" i="25" l="1"/>
  <c r="O34" i="25"/>
  <c r="P34" i="25" s="1"/>
  <c r="P26" i="25"/>
  <c r="O33" i="25"/>
  <c r="P33" i="25" s="1"/>
  <c r="P25" i="25"/>
  <c r="O30" i="25"/>
  <c r="O27" i="25"/>
  <c r="P22" i="25"/>
  <c r="P27" i="25" l="1"/>
  <c r="O35" i="25"/>
  <c r="P35" i="25" s="1"/>
  <c r="P30" i="25"/>
  <c r="P25" i="22"/>
  <c r="E3" i="22"/>
  <c r="F3" i="22" s="1"/>
  <c r="G3" i="22" s="1"/>
  <c r="H3" i="22" s="1"/>
  <c r="I3" i="22" s="1"/>
  <c r="J3" i="22" s="1"/>
  <c r="K3" i="22" s="1"/>
  <c r="L3" i="22" s="1"/>
  <c r="M3" i="22" s="1"/>
  <c r="N3" i="22" s="1"/>
  <c r="O3" i="22" s="1"/>
  <c r="C15" i="21"/>
  <c r="P23" i="14"/>
  <c r="D5" i="14"/>
  <c r="D9" i="14" l="1"/>
  <c r="D25" i="14"/>
  <c r="C14" i="21"/>
  <c r="E8" i="14"/>
  <c r="E5" i="14"/>
  <c r="C5" i="21"/>
  <c r="E9" i="14" l="1"/>
  <c r="E30" i="14"/>
  <c r="D30" i="14"/>
  <c r="F8" i="14"/>
  <c r="F5" i="14"/>
  <c r="G8" i="14" l="1"/>
  <c r="F9" i="14"/>
  <c r="E25" i="14"/>
  <c r="G5" i="14"/>
  <c r="G9" i="14" s="1"/>
  <c r="H8" i="14"/>
  <c r="F25" i="14" l="1"/>
  <c r="F30" i="14"/>
  <c r="H5" i="14"/>
  <c r="H9" i="14" s="1"/>
  <c r="I8" i="14"/>
  <c r="C47" i="20"/>
  <c r="C21" i="21"/>
  <c r="C19" i="21"/>
  <c r="C18" i="21"/>
  <c r="C17" i="21"/>
  <c r="B27" i="21"/>
  <c r="B26" i="21"/>
  <c r="G25" i="14" l="1"/>
  <c r="G30" i="14"/>
  <c r="I5" i="14"/>
  <c r="I9" i="14" s="1"/>
  <c r="J8" i="14"/>
  <c r="P44" i="20"/>
  <c r="P45" i="20"/>
  <c r="H25" i="14" l="1"/>
  <c r="H30" i="14"/>
  <c r="K8" i="14"/>
  <c r="J5" i="14"/>
  <c r="J9" i="14" s="1"/>
  <c r="I25" i="14" l="1"/>
  <c r="I30" i="14"/>
  <c r="K5" i="14"/>
  <c r="K9" i="14" s="1"/>
  <c r="L8" i="14"/>
  <c r="J25" i="14" l="1"/>
  <c r="J30" i="14"/>
  <c r="M8" i="14"/>
  <c r="L5" i="14"/>
  <c r="L9" i="14" s="1"/>
  <c r="K25" i="14" l="1"/>
  <c r="K30" i="14"/>
  <c r="M5" i="14"/>
  <c r="M9" i="14" s="1"/>
  <c r="N8" i="14"/>
  <c r="L25" i="14" l="1"/>
  <c r="L30" i="14"/>
  <c r="O8" i="14"/>
  <c r="N5" i="14"/>
  <c r="N9" i="14" s="1"/>
  <c r="M25" i="14" l="1"/>
  <c r="M30" i="14"/>
  <c r="O5" i="14"/>
  <c r="O9" i="14" s="1"/>
  <c r="N25" i="14" l="1"/>
  <c r="N30" i="14"/>
  <c r="O25" i="14" l="1"/>
  <c r="O30" i="14"/>
  <c r="D13" i="21" l="1"/>
  <c r="B57" i="20" l="1"/>
  <c r="P66" i="20"/>
  <c r="C11" i="20"/>
  <c r="D10" i="20"/>
  <c r="B49" i="20"/>
  <c r="C41" i="20"/>
  <c r="B41" i="20"/>
  <c r="B35" i="20"/>
  <c r="B29" i="20"/>
  <c r="O67" i="20"/>
  <c r="O24" i="22" s="1"/>
  <c r="N67" i="20"/>
  <c r="N24" i="22" s="1"/>
  <c r="M67" i="20"/>
  <c r="M24" i="22" s="1"/>
  <c r="L67" i="20"/>
  <c r="L24" i="22" s="1"/>
  <c r="K67" i="20"/>
  <c r="K24" i="22" s="1"/>
  <c r="J67" i="20"/>
  <c r="J24" i="22" s="1"/>
  <c r="I67" i="20"/>
  <c r="I24" i="22" s="1"/>
  <c r="H67" i="20"/>
  <c r="H24" i="22" s="1"/>
  <c r="G67" i="20"/>
  <c r="G24" i="22" s="1"/>
  <c r="F67" i="20"/>
  <c r="F24" i="22" s="1"/>
  <c r="E67" i="20"/>
  <c r="E24" i="22" s="1"/>
  <c r="D67" i="20"/>
  <c r="D24" i="22" s="1"/>
  <c r="B67" i="20"/>
  <c r="P65" i="20"/>
  <c r="P64" i="20"/>
  <c r="P63" i="20"/>
  <c r="B20" i="20"/>
  <c r="B19" i="20"/>
  <c r="B18" i="20"/>
  <c r="B17" i="20"/>
  <c r="B16" i="20"/>
  <c r="D9" i="20"/>
  <c r="E9" i="20" s="1"/>
  <c r="F9" i="20" s="1"/>
  <c r="G9" i="20" s="1"/>
  <c r="H9" i="20" s="1"/>
  <c r="I9" i="20" s="1"/>
  <c r="J9" i="20" s="1"/>
  <c r="K9" i="20" s="1"/>
  <c r="L9" i="20" s="1"/>
  <c r="M9" i="20" s="1"/>
  <c r="N9" i="20" s="1"/>
  <c r="O9" i="20" s="1"/>
  <c r="D8" i="20"/>
  <c r="E8" i="20" s="1"/>
  <c r="F8" i="20" s="1"/>
  <c r="G8" i="20" s="1"/>
  <c r="H8" i="20" s="1"/>
  <c r="I8" i="20" s="1"/>
  <c r="D7" i="20"/>
  <c r="E7" i="20" s="1"/>
  <c r="F7" i="20" s="1"/>
  <c r="G7" i="20" s="1"/>
  <c r="D6" i="20"/>
  <c r="D5" i="20"/>
  <c r="D61" i="20"/>
  <c r="C34" i="19"/>
  <c r="C40" i="19"/>
  <c r="B40" i="19"/>
  <c r="B34" i="19"/>
  <c r="B28" i="19"/>
  <c r="B18" i="19"/>
  <c r="B17" i="19"/>
  <c r="B16" i="19"/>
  <c r="B15" i="19"/>
  <c r="B14" i="19"/>
  <c r="C10" i="19"/>
  <c r="C7" i="21" s="1"/>
  <c r="D9" i="19"/>
  <c r="D8" i="19"/>
  <c r="D7" i="19"/>
  <c r="D6" i="19"/>
  <c r="D5" i="19"/>
  <c r="D24" i="19" l="1"/>
  <c r="E6" i="20"/>
  <c r="D25" i="20"/>
  <c r="P24" i="22"/>
  <c r="C8" i="21"/>
  <c r="C12" i="20"/>
  <c r="D26" i="20"/>
  <c r="P26" i="20" s="1"/>
  <c r="H7" i="20"/>
  <c r="I7" i="20" s="1"/>
  <c r="J7" i="20" s="1"/>
  <c r="K7" i="20" s="1"/>
  <c r="L7" i="20" s="1"/>
  <c r="J8" i="20"/>
  <c r="K8" i="20" s="1"/>
  <c r="L8" i="20" s="1"/>
  <c r="M8" i="20" s="1"/>
  <c r="N8" i="20" s="1"/>
  <c r="O8" i="20" s="1"/>
  <c r="E10" i="20"/>
  <c r="E7" i="19"/>
  <c r="E8" i="19"/>
  <c r="E6" i="19"/>
  <c r="E9" i="19"/>
  <c r="D11" i="20"/>
  <c r="D12" i="20" s="1"/>
  <c r="E5" i="20"/>
  <c r="P67" i="20"/>
  <c r="D25" i="19"/>
  <c r="P25" i="19" s="1"/>
  <c r="D10" i="19"/>
  <c r="E5" i="19"/>
  <c r="C57" i="18"/>
  <c r="C47" i="18"/>
  <c r="C63" i="18"/>
  <c r="B47" i="18"/>
  <c r="B41" i="18"/>
  <c r="B63" i="18"/>
  <c r="B55" i="18"/>
  <c r="B38" i="14"/>
  <c r="B32" i="14"/>
  <c r="D47" i="19" l="1"/>
  <c r="D39" i="19"/>
  <c r="D38" i="19"/>
  <c r="D37" i="19"/>
  <c r="D33" i="19"/>
  <c r="E24" i="19"/>
  <c r="D13" i="20"/>
  <c r="D40" i="20"/>
  <c r="D39" i="20"/>
  <c r="D38" i="20"/>
  <c r="D34" i="20"/>
  <c r="F6" i="20"/>
  <c r="E25" i="20"/>
  <c r="D27" i="19"/>
  <c r="D32" i="19"/>
  <c r="D32" i="20"/>
  <c r="D28" i="20"/>
  <c r="D29" i="20" s="1"/>
  <c r="D33" i="20"/>
  <c r="E11" i="20"/>
  <c r="M7" i="20"/>
  <c r="N7" i="20" s="1"/>
  <c r="O7" i="20" s="1"/>
  <c r="F10" i="20"/>
  <c r="F9" i="19"/>
  <c r="F8" i="19"/>
  <c r="F6" i="19"/>
  <c r="F7" i="19"/>
  <c r="D11" i="19"/>
  <c r="D7" i="21"/>
  <c r="D8" i="21"/>
  <c r="C124" i="24" s="1"/>
  <c r="F5" i="20"/>
  <c r="D31" i="19"/>
  <c r="F5" i="19"/>
  <c r="E10" i="19"/>
  <c r="F24" i="19" l="1"/>
  <c r="E38" i="19"/>
  <c r="E47" i="19"/>
  <c r="E39" i="19"/>
  <c r="E37" i="19"/>
  <c r="E33" i="19"/>
  <c r="G6" i="20"/>
  <c r="F25" i="20"/>
  <c r="C125" i="24"/>
  <c r="E7" i="21"/>
  <c r="E27" i="19"/>
  <c r="E28" i="19" s="1"/>
  <c r="E32" i="19"/>
  <c r="D28" i="19"/>
  <c r="E8" i="21"/>
  <c r="D124" i="24" s="1"/>
  <c r="E12" i="20"/>
  <c r="C131" i="24"/>
  <c r="E28" i="20"/>
  <c r="E29" i="20" s="1"/>
  <c r="E33" i="20"/>
  <c r="D63" i="18"/>
  <c r="D18" i="22" s="1"/>
  <c r="D17" i="22"/>
  <c r="F11" i="20"/>
  <c r="G10" i="20"/>
  <c r="G6" i="19"/>
  <c r="G9" i="19"/>
  <c r="G7" i="19"/>
  <c r="G8" i="19"/>
  <c r="D41" i="20"/>
  <c r="D35" i="20"/>
  <c r="G5" i="20"/>
  <c r="D34" i="19"/>
  <c r="D40" i="19"/>
  <c r="E11" i="19"/>
  <c r="E31" i="19" s="1"/>
  <c r="G5" i="19"/>
  <c r="F10" i="19"/>
  <c r="G24" i="19" l="1"/>
  <c r="F47" i="19"/>
  <c r="F39" i="19"/>
  <c r="F38" i="19"/>
  <c r="F37" i="19"/>
  <c r="F33" i="19"/>
  <c r="E13" i="20"/>
  <c r="E32" i="20" s="1"/>
  <c r="E39" i="20"/>
  <c r="E38" i="20"/>
  <c r="E41" i="20" s="1"/>
  <c r="E40" i="20"/>
  <c r="E34" i="20"/>
  <c r="E35" i="20" s="1"/>
  <c r="H6" i="20"/>
  <c r="G25" i="20"/>
  <c r="D125" i="24"/>
  <c r="D130" i="24"/>
  <c r="C130" i="24"/>
  <c r="F27" i="19"/>
  <c r="F28" i="19" s="1"/>
  <c r="F32" i="19"/>
  <c r="F7" i="21"/>
  <c r="F8" i="21"/>
  <c r="E124" i="24" s="1"/>
  <c r="F12" i="20"/>
  <c r="D131" i="24"/>
  <c r="F28" i="20"/>
  <c r="F29" i="20" s="1"/>
  <c r="F33" i="20"/>
  <c r="C90" i="24"/>
  <c r="E63" i="18"/>
  <c r="E18" i="22" s="1"/>
  <c r="E17" i="22"/>
  <c r="G11" i="20"/>
  <c r="H10" i="20"/>
  <c r="H7" i="19"/>
  <c r="H8" i="19"/>
  <c r="H9" i="19"/>
  <c r="H6" i="19"/>
  <c r="H5" i="20"/>
  <c r="F11" i="19"/>
  <c r="F31" i="19" s="1"/>
  <c r="E34" i="19"/>
  <c r="H5" i="19"/>
  <c r="G10" i="19"/>
  <c r="E40" i="19"/>
  <c r="H24" i="19" l="1"/>
  <c r="G47" i="19"/>
  <c r="G39" i="19"/>
  <c r="G38" i="19"/>
  <c r="G37" i="19"/>
  <c r="G33" i="19"/>
  <c r="I6" i="20"/>
  <c r="H25" i="20"/>
  <c r="F13" i="20"/>
  <c r="F32" i="20" s="1"/>
  <c r="F40" i="20"/>
  <c r="F39" i="20"/>
  <c r="F38" i="20"/>
  <c r="F41" i="20" s="1"/>
  <c r="F34" i="20"/>
  <c r="E125" i="24"/>
  <c r="E130" i="24"/>
  <c r="G7" i="21"/>
  <c r="G27" i="19"/>
  <c r="G28" i="19" s="1"/>
  <c r="G32" i="19"/>
  <c r="G8" i="21"/>
  <c r="F124" i="24" s="1"/>
  <c r="G12" i="20"/>
  <c r="E131" i="24"/>
  <c r="G28" i="20"/>
  <c r="G29" i="20" s="1"/>
  <c r="G33" i="20"/>
  <c r="D90" i="24"/>
  <c r="F17" i="22"/>
  <c r="F63" i="18"/>
  <c r="F18" i="22" s="1"/>
  <c r="H11" i="20"/>
  <c r="I10" i="20"/>
  <c r="I6" i="19"/>
  <c r="I8" i="19"/>
  <c r="I7" i="19"/>
  <c r="I9" i="19"/>
  <c r="F35" i="20"/>
  <c r="I5" i="20"/>
  <c r="F40" i="19"/>
  <c r="F34" i="19"/>
  <c r="G11" i="19"/>
  <c r="G31" i="19" s="1"/>
  <c r="H10" i="19"/>
  <c r="I5" i="19"/>
  <c r="I24" i="19" l="1"/>
  <c r="H47" i="19"/>
  <c r="H39" i="19"/>
  <c r="H38" i="19"/>
  <c r="H37" i="19"/>
  <c r="H33" i="19"/>
  <c r="G40" i="20"/>
  <c r="G39" i="20"/>
  <c r="G38" i="20"/>
  <c r="G34" i="20"/>
  <c r="G13" i="20"/>
  <c r="G32" i="20" s="1"/>
  <c r="J6" i="20"/>
  <c r="I25" i="20"/>
  <c r="F125" i="24"/>
  <c r="F130" i="24"/>
  <c r="H32" i="19"/>
  <c r="H27" i="19"/>
  <c r="H7" i="21"/>
  <c r="F131" i="24"/>
  <c r="H8" i="21"/>
  <c r="G124" i="24" s="1"/>
  <c r="H12" i="20"/>
  <c r="H28" i="20"/>
  <c r="H29" i="20" s="1"/>
  <c r="H33" i="20"/>
  <c r="I11" i="20"/>
  <c r="E90" i="24"/>
  <c r="G63" i="18"/>
  <c r="G18" i="22" s="1"/>
  <c r="G17" i="22"/>
  <c r="J10" i="20"/>
  <c r="J9" i="19"/>
  <c r="J8" i="19"/>
  <c r="J7" i="19"/>
  <c r="J6" i="19"/>
  <c r="J5" i="20"/>
  <c r="G40" i="19"/>
  <c r="J5" i="19"/>
  <c r="I10" i="19"/>
  <c r="H11" i="19"/>
  <c r="H31" i="19" s="1"/>
  <c r="G34" i="19"/>
  <c r="J24" i="19" l="1"/>
  <c r="I47" i="19"/>
  <c r="I33" i="19"/>
  <c r="I39" i="19"/>
  <c r="I38" i="19"/>
  <c r="I37" i="19"/>
  <c r="G35" i="20"/>
  <c r="K6" i="20"/>
  <c r="J25" i="20"/>
  <c r="H13" i="20"/>
  <c r="H32" i="20" s="1"/>
  <c r="H40" i="20"/>
  <c r="H39" i="20"/>
  <c r="H38" i="20"/>
  <c r="H34" i="20"/>
  <c r="G125" i="24"/>
  <c r="I27" i="19"/>
  <c r="I28" i="19" s="1"/>
  <c r="I32" i="19"/>
  <c r="I7" i="21"/>
  <c r="H28" i="19"/>
  <c r="G41" i="20"/>
  <c r="G131" i="24"/>
  <c r="I8" i="21"/>
  <c r="H124" i="24" s="1"/>
  <c r="I12" i="20"/>
  <c r="H35" i="20"/>
  <c r="I28" i="20"/>
  <c r="I29" i="20" s="1"/>
  <c r="I33" i="20"/>
  <c r="J11" i="20"/>
  <c r="F90" i="24"/>
  <c r="H17" i="22"/>
  <c r="H63" i="18"/>
  <c r="H18" i="22" s="1"/>
  <c r="K10" i="20"/>
  <c r="K7" i="19"/>
  <c r="K8" i="19"/>
  <c r="K6" i="19"/>
  <c r="K9" i="19"/>
  <c r="K5" i="20"/>
  <c r="H34" i="19"/>
  <c r="H40" i="19"/>
  <c r="J10" i="19"/>
  <c r="K5" i="19"/>
  <c r="I11" i="19"/>
  <c r="I31" i="19" s="1"/>
  <c r="J47" i="19" l="1"/>
  <c r="J39" i="19"/>
  <c r="J38" i="19"/>
  <c r="J37" i="19"/>
  <c r="J33" i="19"/>
  <c r="K24" i="19"/>
  <c r="I13" i="20"/>
  <c r="I32" i="20" s="1"/>
  <c r="I40" i="20"/>
  <c r="I38" i="20"/>
  <c r="I34" i="20"/>
  <c r="I39" i="20"/>
  <c r="L6" i="20"/>
  <c r="K25" i="20"/>
  <c r="H125" i="24"/>
  <c r="G130" i="24"/>
  <c r="H130" i="24"/>
  <c r="J27" i="19"/>
  <c r="J28" i="19" s="1"/>
  <c r="J32" i="19"/>
  <c r="J7" i="21"/>
  <c r="H41" i="20"/>
  <c r="H131" i="24"/>
  <c r="J8" i="21"/>
  <c r="I124" i="24" s="1"/>
  <c r="J12" i="20"/>
  <c r="J28" i="20"/>
  <c r="J33" i="20"/>
  <c r="G90" i="24"/>
  <c r="I17" i="22"/>
  <c r="I63" i="18"/>
  <c r="I18" i="22" s="1"/>
  <c r="K11" i="20"/>
  <c r="L10" i="20"/>
  <c r="L6" i="19"/>
  <c r="L8" i="19"/>
  <c r="L9" i="19"/>
  <c r="L7" i="19"/>
  <c r="I35" i="20"/>
  <c r="L5" i="20"/>
  <c r="I34" i="19"/>
  <c r="L5" i="19"/>
  <c r="K10" i="19"/>
  <c r="I40" i="19"/>
  <c r="J11" i="19"/>
  <c r="J31" i="19" s="1"/>
  <c r="L24" i="19" l="1"/>
  <c r="K47" i="19"/>
  <c r="K39" i="19"/>
  <c r="K38" i="19"/>
  <c r="K37" i="19"/>
  <c r="K33" i="19"/>
  <c r="M6" i="20"/>
  <c r="L25" i="20"/>
  <c r="J13" i="20"/>
  <c r="J32" i="20" s="1"/>
  <c r="J40" i="20"/>
  <c r="J39" i="20"/>
  <c r="J38" i="20"/>
  <c r="J34" i="20"/>
  <c r="I125" i="24"/>
  <c r="I130" i="24"/>
  <c r="K27" i="19"/>
  <c r="K28" i="19" s="1"/>
  <c r="K32" i="19"/>
  <c r="K7" i="21"/>
  <c r="I41" i="20"/>
  <c r="K8" i="21"/>
  <c r="J124" i="24" s="1"/>
  <c r="K12" i="20"/>
  <c r="K28" i="20"/>
  <c r="K29" i="20" s="1"/>
  <c r="K33" i="20"/>
  <c r="H90" i="24"/>
  <c r="J29" i="20"/>
  <c r="J17" i="22"/>
  <c r="J63" i="18"/>
  <c r="J18" i="22" s="1"/>
  <c r="L11" i="20"/>
  <c r="M10" i="20"/>
  <c r="M8" i="19"/>
  <c r="M7" i="19"/>
  <c r="M9" i="19"/>
  <c r="M6" i="19"/>
  <c r="J35" i="20"/>
  <c r="M5" i="20"/>
  <c r="J34" i="19"/>
  <c r="K11" i="19"/>
  <c r="K31" i="19" s="1"/>
  <c r="J40" i="19"/>
  <c r="L10" i="19"/>
  <c r="M5" i="19"/>
  <c r="M24" i="19" l="1"/>
  <c r="L47" i="19"/>
  <c r="L39" i="19"/>
  <c r="L38" i="19"/>
  <c r="L37" i="19"/>
  <c r="L33" i="19"/>
  <c r="M25" i="20"/>
  <c r="N6" i="20"/>
  <c r="K40" i="20"/>
  <c r="K39" i="20"/>
  <c r="K38" i="20"/>
  <c r="K34" i="20"/>
  <c r="K35" i="20" s="1"/>
  <c r="K13" i="20"/>
  <c r="K32" i="20" s="1"/>
  <c r="J125" i="24"/>
  <c r="J130" i="24"/>
  <c r="L32" i="19"/>
  <c r="L27" i="19"/>
  <c r="L28" i="19" s="1"/>
  <c r="L7" i="21"/>
  <c r="J41" i="20"/>
  <c r="J131" i="24"/>
  <c r="I131" i="24"/>
  <c r="L8" i="21"/>
  <c r="K124" i="24" s="1"/>
  <c r="L12" i="20"/>
  <c r="L28" i="20"/>
  <c r="L29" i="20" s="1"/>
  <c r="L33" i="20"/>
  <c r="I90" i="24"/>
  <c r="M11" i="20"/>
  <c r="K63" i="18"/>
  <c r="K18" i="22" s="1"/>
  <c r="K17" i="22"/>
  <c r="N10" i="20"/>
  <c r="N7" i="19"/>
  <c r="N6" i="19"/>
  <c r="N9" i="19"/>
  <c r="N8" i="19"/>
  <c r="N5" i="20"/>
  <c r="K34" i="19"/>
  <c r="K40" i="19"/>
  <c r="N5" i="19"/>
  <c r="M10" i="19"/>
  <c r="L11" i="19"/>
  <c r="L31" i="19" s="1"/>
  <c r="N24" i="19" l="1"/>
  <c r="M38" i="19"/>
  <c r="M37" i="19"/>
  <c r="M33" i="19"/>
  <c r="M47" i="19"/>
  <c r="M39" i="19"/>
  <c r="L13" i="20"/>
  <c r="L32" i="20" s="1"/>
  <c r="L40" i="20"/>
  <c r="L39" i="20"/>
  <c r="L38" i="20"/>
  <c r="L34" i="20"/>
  <c r="O6" i="20"/>
  <c r="N25" i="20"/>
  <c r="K125" i="24"/>
  <c r="K130" i="24"/>
  <c r="M27" i="19"/>
  <c r="M28" i="19" s="1"/>
  <c r="M32" i="19"/>
  <c r="M7" i="21"/>
  <c r="K41" i="20"/>
  <c r="L35" i="20"/>
  <c r="K131" i="24"/>
  <c r="M8" i="21"/>
  <c r="L124" i="24" s="1"/>
  <c r="M12" i="20"/>
  <c r="M28" i="20"/>
  <c r="M29" i="20" s="1"/>
  <c r="M33" i="20"/>
  <c r="N11" i="20"/>
  <c r="J90" i="24"/>
  <c r="L63" i="18"/>
  <c r="L18" i="22" s="1"/>
  <c r="L17" i="22"/>
  <c r="O10" i="20"/>
  <c r="O7" i="19"/>
  <c r="O9" i="19"/>
  <c r="O8" i="19"/>
  <c r="O6" i="19"/>
  <c r="O5" i="20"/>
  <c r="L34" i="19"/>
  <c r="L40" i="19"/>
  <c r="M11" i="19"/>
  <c r="M31" i="19" s="1"/>
  <c r="O5" i="19"/>
  <c r="N10" i="19"/>
  <c r="D6" i="18"/>
  <c r="D7" i="18"/>
  <c r="D8" i="18"/>
  <c r="D9" i="18"/>
  <c r="D20" i="21" s="1"/>
  <c r="D10" i="18"/>
  <c r="D21" i="21" s="1"/>
  <c r="D33" i="21" s="1"/>
  <c r="D5" i="18"/>
  <c r="N47" i="19" l="1"/>
  <c r="N39" i="19"/>
  <c r="N38" i="19"/>
  <c r="N37" i="19"/>
  <c r="N33" i="19"/>
  <c r="O24" i="19"/>
  <c r="O25" i="20"/>
  <c r="M13" i="20"/>
  <c r="M32" i="20" s="1"/>
  <c r="M35" i="20" s="1"/>
  <c r="M39" i="20"/>
  <c r="M40" i="20"/>
  <c r="M38" i="20"/>
  <c r="M34" i="20"/>
  <c r="L125" i="24"/>
  <c r="L130" i="24"/>
  <c r="N27" i="19"/>
  <c r="N28" i="19" s="1"/>
  <c r="N32" i="19"/>
  <c r="N7" i="21"/>
  <c r="L41" i="20"/>
  <c r="L131" i="24"/>
  <c r="N8" i="21"/>
  <c r="M124" i="24" s="1"/>
  <c r="N12" i="20"/>
  <c r="N28" i="20"/>
  <c r="N33" i="20"/>
  <c r="D16" i="21"/>
  <c r="D28" i="21" s="1"/>
  <c r="D39" i="18"/>
  <c r="K90" i="24"/>
  <c r="D34" i="18"/>
  <c r="M17" i="22"/>
  <c r="O11" i="20"/>
  <c r="E8" i="18"/>
  <c r="D19" i="21"/>
  <c r="D31" i="21" s="1"/>
  <c r="E5" i="18"/>
  <c r="E7" i="18"/>
  <c r="D18" i="21"/>
  <c r="D30" i="21" s="1"/>
  <c r="E6" i="18"/>
  <c r="D17" i="21"/>
  <c r="D29" i="21" s="1"/>
  <c r="E9" i="18"/>
  <c r="E20" i="21" s="1"/>
  <c r="D32" i="21"/>
  <c r="M63" i="18"/>
  <c r="M18" i="22" s="1"/>
  <c r="E10" i="18"/>
  <c r="E21" i="21" s="1"/>
  <c r="E33" i="21" s="1"/>
  <c r="P32" i="18"/>
  <c r="O10" i="19"/>
  <c r="M40" i="19"/>
  <c r="M34" i="19"/>
  <c r="N11" i="19"/>
  <c r="N31" i="19" s="1"/>
  <c r="P68" i="18"/>
  <c r="P69" i="18"/>
  <c r="O47" i="19" l="1"/>
  <c r="O39" i="19"/>
  <c r="O38" i="19"/>
  <c r="P38" i="19" s="1"/>
  <c r="O37" i="19"/>
  <c r="O33" i="19"/>
  <c r="N13" i="20"/>
  <c r="N32" i="20" s="1"/>
  <c r="N40" i="20"/>
  <c r="N39" i="20"/>
  <c r="N38" i="20"/>
  <c r="N34" i="20"/>
  <c r="M125" i="24"/>
  <c r="M130" i="24"/>
  <c r="O27" i="19"/>
  <c r="P27" i="19" s="1"/>
  <c r="O32" i="19"/>
  <c r="P32" i="19" s="1"/>
  <c r="O7" i="21"/>
  <c r="P39" i="19"/>
  <c r="P33" i="19"/>
  <c r="M41" i="20"/>
  <c r="O8" i="21"/>
  <c r="N124" i="24" s="1"/>
  <c r="O12" i="20"/>
  <c r="O28" i="20"/>
  <c r="O29" i="20" s="1"/>
  <c r="O33" i="20"/>
  <c r="P33" i="20" s="1"/>
  <c r="E16" i="21"/>
  <c r="E28" i="21" s="1"/>
  <c r="E39" i="18"/>
  <c r="L90" i="24"/>
  <c r="D35" i="18"/>
  <c r="N29" i="20"/>
  <c r="P8" i="21"/>
  <c r="P59" i="18"/>
  <c r="P61" i="18"/>
  <c r="P62" i="18"/>
  <c r="P60" i="18"/>
  <c r="F5" i="18"/>
  <c r="N63" i="18"/>
  <c r="N18" i="22" s="1"/>
  <c r="N17" i="22"/>
  <c r="F6" i="18"/>
  <c r="E17" i="21"/>
  <c r="E29" i="21" s="1"/>
  <c r="P51" i="18"/>
  <c r="P53" i="18"/>
  <c r="P52" i="18"/>
  <c r="F9" i="18"/>
  <c r="F20" i="21" s="1"/>
  <c r="E32" i="21"/>
  <c r="F7" i="18"/>
  <c r="E18" i="21"/>
  <c r="E30" i="21" s="1"/>
  <c r="F8" i="18"/>
  <c r="E19" i="21"/>
  <c r="E31" i="21" s="1"/>
  <c r="F10" i="18"/>
  <c r="F21" i="21" s="1"/>
  <c r="F33" i="21" s="1"/>
  <c r="P25" i="20"/>
  <c r="N34" i="19"/>
  <c r="O11" i="19"/>
  <c r="O31" i="19" s="1"/>
  <c r="P24" i="19"/>
  <c r="N40" i="19"/>
  <c r="C11" i="18"/>
  <c r="C6" i="21" s="1"/>
  <c r="N35" i="20" l="1"/>
  <c r="O40" i="20"/>
  <c r="O39" i="20"/>
  <c r="O38" i="20"/>
  <c r="O34" i="20"/>
  <c r="P34" i="20" s="1"/>
  <c r="O13" i="20"/>
  <c r="O32" i="20" s="1"/>
  <c r="N125" i="24"/>
  <c r="P7" i="21"/>
  <c r="P28" i="19"/>
  <c r="O28" i="19"/>
  <c r="N41" i="20"/>
  <c r="N131" i="24"/>
  <c r="M131" i="24"/>
  <c r="P40" i="20"/>
  <c r="P39" i="20"/>
  <c r="P38" i="20"/>
  <c r="P28" i="20"/>
  <c r="P29" i="20" s="1"/>
  <c r="E34" i="18"/>
  <c r="E35" i="18" s="1"/>
  <c r="F16" i="21"/>
  <c r="F28" i="21" s="1"/>
  <c r="F39" i="18"/>
  <c r="C129" i="24"/>
  <c r="M90" i="24"/>
  <c r="G7" i="18"/>
  <c r="F18" i="21"/>
  <c r="F30" i="21" s="1"/>
  <c r="P50" i="18"/>
  <c r="P55" i="18" s="1"/>
  <c r="O17" i="22"/>
  <c r="G6" i="18"/>
  <c r="F17" i="21"/>
  <c r="F29" i="21" s="1"/>
  <c r="G5" i="18"/>
  <c r="O63" i="18"/>
  <c r="O18" i="22" s="1"/>
  <c r="P18" i="22" s="1"/>
  <c r="P58" i="18"/>
  <c r="P63" i="18" s="1"/>
  <c r="G8" i="18"/>
  <c r="F19" i="21"/>
  <c r="F31" i="21" s="1"/>
  <c r="G9" i="18"/>
  <c r="G20" i="21" s="1"/>
  <c r="F32" i="21"/>
  <c r="G10" i="18"/>
  <c r="G21" i="21" s="1"/>
  <c r="G33" i="21" s="1"/>
  <c r="P32" i="20"/>
  <c r="P31" i="19"/>
  <c r="P34" i="19" s="1"/>
  <c r="O34" i="19"/>
  <c r="O40" i="19"/>
  <c r="P37" i="19"/>
  <c r="P40" i="19" s="1"/>
  <c r="B51" i="18"/>
  <c r="B52" i="18"/>
  <c r="B53" i="18"/>
  <c r="B50" i="18"/>
  <c r="B16" i="18"/>
  <c r="B17" i="18"/>
  <c r="B18" i="18"/>
  <c r="B19" i="18"/>
  <c r="B20" i="18"/>
  <c r="B15" i="18"/>
  <c r="E11" i="18"/>
  <c r="F11" i="18"/>
  <c r="D11" i="18"/>
  <c r="B35" i="18"/>
  <c r="B73" i="18"/>
  <c r="P72" i="18"/>
  <c r="P71" i="18"/>
  <c r="P70" i="18"/>
  <c r="N130" i="24" l="1"/>
  <c r="P41" i="20"/>
  <c r="O35" i="20"/>
  <c r="O41" i="20"/>
  <c r="P35" i="20"/>
  <c r="D129" i="24"/>
  <c r="G16" i="21"/>
  <c r="G28" i="21" s="1"/>
  <c r="G39" i="18"/>
  <c r="F34" i="18"/>
  <c r="N90" i="24"/>
  <c r="P17" i="22"/>
  <c r="O90" i="24" s="1"/>
  <c r="B19" i="21"/>
  <c r="B31" i="21" s="1"/>
  <c r="H8" i="18"/>
  <c r="G19" i="21"/>
  <c r="G31" i="21" s="1"/>
  <c r="H5" i="18"/>
  <c r="B18" i="21"/>
  <c r="B30" i="21" s="1"/>
  <c r="G11" i="18"/>
  <c r="B17" i="21"/>
  <c r="B29" i="21" s="1"/>
  <c r="H9" i="18"/>
  <c r="H20" i="21" s="1"/>
  <c r="G32" i="21"/>
  <c r="H6" i="18"/>
  <c r="G17" i="21"/>
  <c r="G29" i="21" s="1"/>
  <c r="H7" i="18"/>
  <c r="G18" i="21"/>
  <c r="G30" i="21" s="1"/>
  <c r="B16" i="21"/>
  <c r="B28" i="21" s="1"/>
  <c r="B21" i="21"/>
  <c r="B33" i="21" s="1"/>
  <c r="B20" i="21"/>
  <c r="B32" i="21" s="1"/>
  <c r="F6" i="21"/>
  <c r="E6" i="21"/>
  <c r="D12" i="18"/>
  <c r="D6" i="21"/>
  <c r="D38" i="18"/>
  <c r="H10" i="18"/>
  <c r="H21" i="21" s="1"/>
  <c r="H33" i="21" s="1"/>
  <c r="E12" i="18"/>
  <c r="E38" i="18" s="1"/>
  <c r="E41" i="18" s="1"/>
  <c r="F12" i="18"/>
  <c r="F38" i="18" s="1"/>
  <c r="D73" i="18"/>
  <c r="E123" i="24" l="1"/>
  <c r="C123" i="24"/>
  <c r="D123" i="24"/>
  <c r="G12" i="18"/>
  <c r="G38" i="18" s="1"/>
  <c r="H16" i="21"/>
  <c r="H28" i="21" s="1"/>
  <c r="H39" i="18"/>
  <c r="G34" i="18"/>
  <c r="G35" i="18" s="1"/>
  <c r="F35" i="18"/>
  <c r="G6" i="21"/>
  <c r="E47" i="18"/>
  <c r="E65" i="18" s="1"/>
  <c r="D41" i="18"/>
  <c r="I8" i="18"/>
  <c r="H19" i="21"/>
  <c r="H31" i="21" s="1"/>
  <c r="I6" i="18"/>
  <c r="H17" i="21"/>
  <c r="H29" i="21" s="1"/>
  <c r="I5" i="18"/>
  <c r="I7" i="18"/>
  <c r="H18" i="21"/>
  <c r="H30" i="21" s="1"/>
  <c r="I9" i="18"/>
  <c r="I20" i="21" s="1"/>
  <c r="H32" i="21"/>
  <c r="G41" i="18"/>
  <c r="I10" i="18"/>
  <c r="I21" i="21" s="1"/>
  <c r="I33" i="21" s="1"/>
  <c r="H11" i="18"/>
  <c r="D47" i="18"/>
  <c r="F47" i="18"/>
  <c r="F41" i="18"/>
  <c r="F123" i="24" l="1"/>
  <c r="D65" i="18"/>
  <c r="I16" i="21"/>
  <c r="I28" i="21" s="1"/>
  <c r="I39" i="18"/>
  <c r="E129" i="24"/>
  <c r="F65" i="18"/>
  <c r="F129" i="24"/>
  <c r="H34" i="18"/>
  <c r="H35" i="18" s="1"/>
  <c r="G47" i="18"/>
  <c r="G65" i="18" s="1"/>
  <c r="J7" i="18"/>
  <c r="I18" i="21"/>
  <c r="I30" i="21" s="1"/>
  <c r="J6" i="18"/>
  <c r="I17" i="21"/>
  <c r="I29" i="21" s="1"/>
  <c r="J9" i="18"/>
  <c r="J20" i="21" s="1"/>
  <c r="I32" i="21"/>
  <c r="J5" i="18"/>
  <c r="J8" i="18"/>
  <c r="I19" i="21"/>
  <c r="I31" i="21" s="1"/>
  <c r="J10" i="18"/>
  <c r="J21" i="21" s="1"/>
  <c r="J33" i="21" s="1"/>
  <c r="I11" i="18"/>
  <c r="H6" i="21"/>
  <c r="H12" i="18"/>
  <c r="H38" i="18" s="1"/>
  <c r="G123" i="24" l="1"/>
  <c r="G129" i="24"/>
  <c r="J16" i="21"/>
  <c r="J28" i="21" s="1"/>
  <c r="J39" i="18"/>
  <c r="I34" i="18"/>
  <c r="I35" i="18" s="1"/>
  <c r="K9" i="18"/>
  <c r="K20" i="21" s="1"/>
  <c r="J32" i="21"/>
  <c r="K5" i="18"/>
  <c r="K6" i="18"/>
  <c r="J17" i="21"/>
  <c r="J29" i="21" s="1"/>
  <c r="K8" i="18"/>
  <c r="J19" i="21"/>
  <c r="J31" i="21" s="1"/>
  <c r="K7" i="18"/>
  <c r="J18" i="21"/>
  <c r="J30" i="21" s="1"/>
  <c r="H47" i="18"/>
  <c r="K10" i="18"/>
  <c r="K21" i="21" s="1"/>
  <c r="K33" i="21" s="1"/>
  <c r="J11" i="18"/>
  <c r="H41" i="18"/>
  <c r="I6" i="21"/>
  <c r="I12" i="18"/>
  <c r="I38" i="18" s="1"/>
  <c r="E73" i="18"/>
  <c r="H123" i="24" l="1"/>
  <c r="H65" i="18"/>
  <c r="H129" i="24"/>
  <c r="J34" i="18"/>
  <c r="J35" i="18" s="1"/>
  <c r="K16" i="21"/>
  <c r="K28" i="21" s="1"/>
  <c r="K39" i="18"/>
  <c r="I41" i="18"/>
  <c r="L8" i="18"/>
  <c r="K19" i="21"/>
  <c r="K31" i="21" s="1"/>
  <c r="L5" i="18"/>
  <c r="L7" i="18"/>
  <c r="K18" i="21"/>
  <c r="K30" i="21" s="1"/>
  <c r="L6" i="18"/>
  <c r="K17" i="21"/>
  <c r="K29" i="21" s="1"/>
  <c r="L9" i="18"/>
  <c r="L20" i="21" s="1"/>
  <c r="K32" i="21"/>
  <c r="I47" i="18"/>
  <c r="L10" i="18"/>
  <c r="L21" i="21" s="1"/>
  <c r="L33" i="21" s="1"/>
  <c r="K11" i="18"/>
  <c r="J6" i="21"/>
  <c r="J12" i="18"/>
  <c r="J38" i="18" s="1"/>
  <c r="F73" i="18"/>
  <c r="I123" i="24" l="1"/>
  <c r="I65" i="18"/>
  <c r="K34" i="18"/>
  <c r="I129" i="24"/>
  <c r="L16" i="21"/>
  <c r="L28" i="21" s="1"/>
  <c r="L39" i="18"/>
  <c r="K35" i="18"/>
  <c r="M6" i="18"/>
  <c r="L17" i="21"/>
  <c r="L29" i="21" s="1"/>
  <c r="M5" i="18"/>
  <c r="M9" i="18"/>
  <c r="M20" i="21" s="1"/>
  <c r="L32" i="21"/>
  <c r="M7" i="18"/>
  <c r="L18" i="21"/>
  <c r="L30" i="21" s="1"/>
  <c r="M8" i="18"/>
  <c r="L19" i="21"/>
  <c r="L31" i="21" s="1"/>
  <c r="J41" i="18"/>
  <c r="M10" i="18"/>
  <c r="M21" i="21" s="1"/>
  <c r="M33" i="21" s="1"/>
  <c r="L11" i="18"/>
  <c r="J47" i="18"/>
  <c r="K6" i="21"/>
  <c r="K12" i="18"/>
  <c r="K38" i="18" s="1"/>
  <c r="G73" i="18"/>
  <c r="J123" i="24" l="1"/>
  <c r="J65" i="18"/>
  <c r="J129" i="24"/>
  <c r="M16" i="21"/>
  <c r="M28" i="21" s="1"/>
  <c r="M39" i="18"/>
  <c r="L34" i="18"/>
  <c r="L35" i="18" s="1"/>
  <c r="K41" i="18"/>
  <c r="N8" i="18"/>
  <c r="M19" i="21"/>
  <c r="M31" i="21" s="1"/>
  <c r="N9" i="18"/>
  <c r="N20" i="21" s="1"/>
  <c r="M32" i="21"/>
  <c r="N5" i="18"/>
  <c r="N7" i="18"/>
  <c r="M18" i="21"/>
  <c r="M30" i="21" s="1"/>
  <c r="K47" i="18"/>
  <c r="N6" i="18"/>
  <c r="M17" i="21"/>
  <c r="M29" i="21" s="1"/>
  <c r="N10" i="18"/>
  <c r="N21" i="21" s="1"/>
  <c r="N33" i="21" s="1"/>
  <c r="M11" i="18"/>
  <c r="L6" i="21"/>
  <c r="L12" i="18"/>
  <c r="L38" i="18" s="1"/>
  <c r="H73" i="18"/>
  <c r="K123" i="24" l="1"/>
  <c r="K65" i="18"/>
  <c r="K129" i="24"/>
  <c r="M34" i="18"/>
  <c r="M35" i="18" s="1"/>
  <c r="N16" i="21"/>
  <c r="N28" i="21" s="1"/>
  <c r="N39" i="18"/>
  <c r="O9" i="18"/>
  <c r="O20" i="21" s="1"/>
  <c r="N32" i="21"/>
  <c r="O5" i="18"/>
  <c r="O8" i="18"/>
  <c r="O19" i="21" s="1"/>
  <c r="N19" i="21"/>
  <c r="N31" i="21" s="1"/>
  <c r="O6" i="18"/>
  <c r="N17" i="21"/>
  <c r="N29" i="21" s="1"/>
  <c r="O7" i="18"/>
  <c r="O18" i="21" s="1"/>
  <c r="N18" i="21"/>
  <c r="N30" i="21" s="1"/>
  <c r="O10" i="18"/>
  <c r="O21" i="21" s="1"/>
  <c r="N11" i="18"/>
  <c r="L47" i="18"/>
  <c r="L41" i="18"/>
  <c r="M6" i="21"/>
  <c r="M12" i="18"/>
  <c r="M38" i="18" s="1"/>
  <c r="I73" i="18"/>
  <c r="L123" i="24" l="1"/>
  <c r="L65" i="18"/>
  <c r="N34" i="18"/>
  <c r="N35" i="18" s="1"/>
  <c r="L129" i="24"/>
  <c r="O16" i="21"/>
  <c r="O28" i="21" s="1"/>
  <c r="P28" i="21" s="1"/>
  <c r="O39" i="18"/>
  <c r="O17" i="21"/>
  <c r="O29" i="21" s="1"/>
  <c r="P29" i="21" s="1"/>
  <c r="M47" i="18"/>
  <c r="M41" i="18"/>
  <c r="P21" i="21"/>
  <c r="O33" i="21"/>
  <c r="P33" i="21" s="1"/>
  <c r="P18" i="21"/>
  <c r="O30" i="21"/>
  <c r="P30" i="21" s="1"/>
  <c r="P19" i="21"/>
  <c r="O31" i="21"/>
  <c r="P31" i="21" s="1"/>
  <c r="P20" i="21"/>
  <c r="O32" i="21"/>
  <c r="P32" i="21" s="1"/>
  <c r="O11" i="18"/>
  <c r="N6" i="21"/>
  <c r="N12" i="18"/>
  <c r="N38" i="18" s="1"/>
  <c r="J73" i="18"/>
  <c r="M123" i="24" l="1"/>
  <c r="M65" i="18"/>
  <c r="P16" i="21"/>
  <c r="P46" i="18"/>
  <c r="P45" i="18"/>
  <c r="P40" i="18"/>
  <c r="O34" i="18"/>
  <c r="P34" i="18" s="1"/>
  <c r="M129" i="24"/>
  <c r="P17" i="21"/>
  <c r="N41" i="18"/>
  <c r="O6" i="21"/>
  <c r="O12" i="18"/>
  <c r="O38" i="18" s="1"/>
  <c r="P38" i="18" s="1"/>
  <c r="P31" i="18"/>
  <c r="N47" i="18"/>
  <c r="K73" i="18"/>
  <c r="N123" i="24" l="1"/>
  <c r="N65" i="18"/>
  <c r="O35" i="18"/>
  <c r="P35" i="18"/>
  <c r="P6" i="21"/>
  <c r="O47" i="18"/>
  <c r="P44" i="18"/>
  <c r="P47" i="18" s="1"/>
  <c r="O41" i="18"/>
  <c r="P39" i="18"/>
  <c r="P41" i="18" s="1"/>
  <c r="L73" i="18"/>
  <c r="P65" i="18" l="1"/>
  <c r="N129" i="24"/>
  <c r="O65" i="18"/>
  <c r="M73" i="18"/>
  <c r="N73" i="18" l="1"/>
  <c r="P73" i="18" l="1"/>
  <c r="O73" i="18" l="1"/>
  <c r="E13" i="21" l="1"/>
  <c r="E61" i="20"/>
  <c r="F13" i="21" l="1"/>
  <c r="F61" i="20"/>
  <c r="G8" i="22" l="1" a="1"/>
  <c r="G8" i="22" s="1"/>
  <c r="J8" i="22" a="1"/>
  <c r="J8" i="22" s="1"/>
  <c r="O8" i="22" a="1"/>
  <c r="O8" i="22" s="1"/>
  <c r="E8" i="22" a="1"/>
  <c r="E8" i="22" s="1"/>
  <c r="H8" i="22" a="1"/>
  <c r="H8" i="22" s="1"/>
  <c r="M8" i="22" a="1"/>
  <c r="M8" i="22" s="1"/>
  <c r="F8" i="22" a="1"/>
  <c r="F8" i="22" s="1"/>
  <c r="K8" i="22" a="1"/>
  <c r="K8" i="22" s="1"/>
  <c r="N8" i="22" a="1"/>
  <c r="N8" i="22" s="1"/>
  <c r="I8" i="22" a="1"/>
  <c r="I8" i="22" s="1"/>
  <c r="L8" i="22" a="1"/>
  <c r="L8" i="22" s="1"/>
  <c r="D8" i="22" a="1"/>
  <c r="D8" i="22" s="1"/>
  <c r="G9" i="22" a="1"/>
  <c r="G9" i="22" s="1"/>
  <c r="L9" i="22" a="1"/>
  <c r="L9" i="22" s="1"/>
  <c r="O9" i="22" a="1"/>
  <c r="O9" i="22" s="1"/>
  <c r="E9" i="22" a="1"/>
  <c r="E9" i="22" s="1"/>
  <c r="J9" i="22" a="1"/>
  <c r="J9" i="22" s="1"/>
  <c r="M9" i="22" a="1"/>
  <c r="M9" i="22" s="1"/>
  <c r="D9" i="22" a="1"/>
  <c r="D9" i="22" s="1"/>
  <c r="H9" i="22" a="1"/>
  <c r="H9" i="22" s="1"/>
  <c r="K9" i="22" a="1"/>
  <c r="K9" i="22" s="1"/>
  <c r="F9" i="22" a="1"/>
  <c r="F9" i="22" s="1"/>
  <c r="I9" i="22" a="1"/>
  <c r="I9" i="22" s="1"/>
  <c r="N9" i="22" a="1"/>
  <c r="N9" i="22" s="1"/>
  <c r="E6" i="22" a="1"/>
  <c r="E6" i="22" s="1"/>
  <c r="H6" i="22" a="1"/>
  <c r="H6" i="22" s="1"/>
  <c r="M6" i="22" a="1"/>
  <c r="M6" i="22" s="1"/>
  <c r="D6" i="22" a="1"/>
  <c r="D6" i="22" s="1"/>
  <c r="F6" i="22" a="1"/>
  <c r="F6" i="22" s="1"/>
  <c r="K6" i="22" a="1"/>
  <c r="K6" i="22" s="1"/>
  <c r="N6" i="22" a="1"/>
  <c r="N6" i="22" s="1"/>
  <c r="I6" i="22" a="1"/>
  <c r="I6" i="22" s="1"/>
  <c r="L6" i="22" a="1"/>
  <c r="L6" i="22" s="1"/>
  <c r="G6" i="22" a="1"/>
  <c r="G6" i="22" s="1"/>
  <c r="J6" i="22" a="1"/>
  <c r="J6" i="22" s="1"/>
  <c r="O6" i="22" a="1"/>
  <c r="O6" i="22" s="1"/>
  <c r="I10" i="22" a="1"/>
  <c r="I10" i="22" s="1"/>
  <c r="L10" i="22" a="1"/>
  <c r="L10" i="22" s="1"/>
  <c r="G10" i="22" a="1"/>
  <c r="G10" i="22" s="1"/>
  <c r="J10" i="22" a="1"/>
  <c r="J10" i="22" s="1"/>
  <c r="O10" i="22" a="1"/>
  <c r="O10" i="22" s="1"/>
  <c r="E10" i="22" a="1"/>
  <c r="E10" i="22" s="1"/>
  <c r="H10" i="22" a="1"/>
  <c r="H10" i="22" s="1"/>
  <c r="M10" i="22" a="1"/>
  <c r="M10" i="22" s="1"/>
  <c r="D10" i="22" a="1"/>
  <c r="D10" i="22" s="1"/>
  <c r="F10" i="22" a="1"/>
  <c r="F10" i="22" s="1"/>
  <c r="K10" i="22" a="1"/>
  <c r="K10" i="22" s="1"/>
  <c r="N10" i="22" a="1"/>
  <c r="N10" i="22" s="1"/>
  <c r="E7" i="22" a="1"/>
  <c r="E7" i="22" s="1"/>
  <c r="J7" i="22" a="1"/>
  <c r="J7" i="22" s="1"/>
  <c r="M7" i="22" a="1"/>
  <c r="M7" i="22" s="1"/>
  <c r="H7" i="22" a="1"/>
  <c r="H7" i="22" s="1"/>
  <c r="K7" i="22" a="1"/>
  <c r="K7" i="22" s="1"/>
  <c r="F7" i="22" a="1"/>
  <c r="F7" i="22" s="1"/>
  <c r="I7" i="22" a="1"/>
  <c r="I7" i="22" s="1"/>
  <c r="N7" i="22" a="1"/>
  <c r="N7" i="22" s="1"/>
  <c r="D7" i="22" a="1"/>
  <c r="D7" i="22" s="1"/>
  <c r="G7" i="22" a="1"/>
  <c r="G7" i="22" s="1"/>
  <c r="L7" i="22" a="1"/>
  <c r="L7" i="22" s="1"/>
  <c r="O7" i="22" a="1"/>
  <c r="O7" i="22" s="1"/>
  <c r="G13" i="21"/>
  <c r="G61" i="20"/>
  <c r="P8" i="22" l="1"/>
  <c r="P7" i="22"/>
  <c r="P9" i="22"/>
  <c r="P10" i="22"/>
  <c r="H13" i="21"/>
  <c r="H61" i="20"/>
  <c r="B26" i="14"/>
  <c r="I13" i="21" l="1"/>
  <c r="I61" i="20"/>
  <c r="J13" i="21" l="1"/>
  <c r="J61" i="20"/>
  <c r="D15" i="21"/>
  <c r="D27" i="21" s="1"/>
  <c r="D45" i="14" l="1"/>
  <c r="D26" i="14"/>
  <c r="D11" i="22"/>
  <c r="D12" i="22" s="1"/>
  <c r="E11" i="22"/>
  <c r="E12" i="22" s="1"/>
  <c r="D5" i="21"/>
  <c r="C122" i="24" s="1"/>
  <c r="D14" i="21"/>
  <c r="K13" i="21"/>
  <c r="K61" i="20"/>
  <c r="D42" i="14" l="1"/>
  <c r="D41" i="14"/>
  <c r="D43" i="14"/>
  <c r="D44" i="14"/>
  <c r="D10" i="14"/>
  <c r="D29" i="14"/>
  <c r="C128" i="24"/>
  <c r="C132" i="24" s="1"/>
  <c r="D14" i="22"/>
  <c r="F11" i="22"/>
  <c r="F12" i="22" s="1"/>
  <c r="E5" i="21"/>
  <c r="D122" i="24" s="1"/>
  <c r="E26" i="14"/>
  <c r="L13" i="21"/>
  <c r="L61" i="20"/>
  <c r="E15" i="21"/>
  <c r="E27" i="21" s="1"/>
  <c r="C9" i="21"/>
  <c r="D9" i="21"/>
  <c r="E14" i="21"/>
  <c r="C22" i="21"/>
  <c r="C23" i="21" s="1"/>
  <c r="D22" i="21"/>
  <c r="D23" i="21" s="1"/>
  <c r="D56" i="20" l="1"/>
  <c r="D55" i="20"/>
  <c r="D54" i="20"/>
  <c r="D53" i="20"/>
  <c r="D52" i="20"/>
  <c r="D48" i="20"/>
  <c r="D47" i="20"/>
  <c r="D46" i="20"/>
  <c r="D38" i="14"/>
  <c r="D16" i="22" s="1"/>
  <c r="D46" i="14"/>
  <c r="E10" i="14"/>
  <c r="E29" i="14" s="1"/>
  <c r="D32" i="14"/>
  <c r="D15" i="22" s="1"/>
  <c r="C89" i="24" s="1"/>
  <c r="E45" i="14"/>
  <c r="E41" i="14"/>
  <c r="E44" i="14"/>
  <c r="E42" i="14"/>
  <c r="E43" i="14"/>
  <c r="C133" i="24"/>
  <c r="C88" i="24"/>
  <c r="F5" i="21"/>
  <c r="E122" i="24" s="1"/>
  <c r="G11" i="22"/>
  <c r="G12" i="22" s="1"/>
  <c r="D24" i="21"/>
  <c r="D128" i="24"/>
  <c r="D132" i="24" s="1"/>
  <c r="E14" i="22"/>
  <c r="C24" i="21"/>
  <c r="F26" i="14"/>
  <c r="D26" i="21"/>
  <c r="D34" i="21" s="1"/>
  <c r="E9" i="21"/>
  <c r="E26" i="21"/>
  <c r="E34" i="21" s="1"/>
  <c r="E22" i="21"/>
  <c r="E23" i="21" s="1"/>
  <c r="D10" i="21"/>
  <c r="F15" i="21"/>
  <c r="F27" i="21" s="1"/>
  <c r="F14" i="21"/>
  <c r="M13" i="21"/>
  <c r="M61" i="20"/>
  <c r="H11" i="22"/>
  <c r="H12" i="22" s="1"/>
  <c r="E54" i="20" l="1"/>
  <c r="E53" i="20"/>
  <c r="E48" i="20"/>
  <c r="E46" i="20"/>
  <c r="E56" i="20"/>
  <c r="E55" i="20"/>
  <c r="E52" i="20"/>
  <c r="E47" i="20"/>
  <c r="D56" i="14"/>
  <c r="D66" i="14" s="1"/>
  <c r="F10" i="14"/>
  <c r="F29" i="14" s="1"/>
  <c r="D57" i="20"/>
  <c r="E38" i="14"/>
  <c r="E16" i="22" s="1"/>
  <c r="E46" i="14"/>
  <c r="F42" i="14"/>
  <c r="F41" i="14"/>
  <c r="F45" i="14"/>
  <c r="F44" i="14"/>
  <c r="F43" i="14"/>
  <c r="G5" i="21"/>
  <c r="F122" i="24" s="1"/>
  <c r="G26" i="14"/>
  <c r="E128" i="24"/>
  <c r="E132" i="24" s="1"/>
  <c r="F14" i="22"/>
  <c r="E88" i="24" s="1"/>
  <c r="D133" i="24"/>
  <c r="E24" i="21"/>
  <c r="D88" i="24"/>
  <c r="E10" i="21"/>
  <c r="F9" i="21"/>
  <c r="G14" i="21"/>
  <c r="G15" i="21"/>
  <c r="G27" i="21" s="1"/>
  <c r="F26" i="21"/>
  <c r="F22" i="21"/>
  <c r="F23" i="21" s="1"/>
  <c r="N13" i="21"/>
  <c r="N61" i="20"/>
  <c r="D49" i="20"/>
  <c r="E32" i="14"/>
  <c r="F56" i="20" l="1"/>
  <c r="F55" i="20"/>
  <c r="F54" i="20"/>
  <c r="F53" i="20"/>
  <c r="F52" i="20"/>
  <c r="F48" i="20"/>
  <c r="F47" i="20"/>
  <c r="F46" i="20"/>
  <c r="F32" i="14"/>
  <c r="F15" i="22" s="1"/>
  <c r="E89" i="24" s="1"/>
  <c r="G10" i="14"/>
  <c r="G29" i="14" s="1"/>
  <c r="F38" i="14"/>
  <c r="F16" i="22" s="1"/>
  <c r="D59" i="20"/>
  <c r="D69" i="20" s="1"/>
  <c r="E57" i="20"/>
  <c r="F46" i="14"/>
  <c r="G43" i="14"/>
  <c r="G42" i="14"/>
  <c r="G41" i="14"/>
  <c r="G44" i="14"/>
  <c r="G45" i="14"/>
  <c r="E15" i="22"/>
  <c r="D89" i="24" s="1"/>
  <c r="E56" i="14"/>
  <c r="I11" i="22"/>
  <c r="I12" i="22" s="1"/>
  <c r="F24" i="21"/>
  <c r="H5" i="21"/>
  <c r="G122" i="24" s="1"/>
  <c r="F128" i="24"/>
  <c r="F132" i="24" s="1"/>
  <c r="G14" i="22"/>
  <c r="H26" i="14"/>
  <c r="E133" i="24"/>
  <c r="D19" i="22"/>
  <c r="D26" i="22"/>
  <c r="E26" i="22"/>
  <c r="E49" i="20"/>
  <c r="F10" i="21"/>
  <c r="G9" i="21"/>
  <c r="H14" i="21"/>
  <c r="O13" i="21"/>
  <c r="O61" i="20"/>
  <c r="F34" i="21"/>
  <c r="H15" i="21"/>
  <c r="H27" i="21" s="1"/>
  <c r="G26" i="21"/>
  <c r="G34" i="21" s="1"/>
  <c r="G22" i="21"/>
  <c r="G23" i="21" s="1"/>
  <c r="G56" i="20" l="1"/>
  <c r="G55" i="20"/>
  <c r="G54" i="20"/>
  <c r="G53" i="20"/>
  <c r="G52" i="20"/>
  <c r="G48" i="20"/>
  <c r="G47" i="20"/>
  <c r="G46" i="20"/>
  <c r="F56" i="14"/>
  <c r="F66" i="14" s="1"/>
  <c r="H10" i="14"/>
  <c r="H29" i="14" s="1"/>
  <c r="H45" i="14"/>
  <c r="H43" i="14"/>
  <c r="H41" i="14"/>
  <c r="H44" i="14"/>
  <c r="H42" i="14"/>
  <c r="E59" i="20"/>
  <c r="F57" i="20"/>
  <c r="G46" i="14"/>
  <c r="G38" i="14"/>
  <c r="G16" i="22" s="1"/>
  <c r="E66" i="14"/>
  <c r="J11" i="22"/>
  <c r="J12" i="22" s="1"/>
  <c r="I5" i="21"/>
  <c r="H122" i="24" s="1"/>
  <c r="G128" i="24"/>
  <c r="G132" i="24" s="1"/>
  <c r="H14" i="22"/>
  <c r="G88" i="24" s="1"/>
  <c r="G24" i="21"/>
  <c r="F133" i="24"/>
  <c r="F88" i="24"/>
  <c r="I26" i="14"/>
  <c r="C91" i="24"/>
  <c r="D22" i="22"/>
  <c r="D28" i="22" s="1"/>
  <c r="E75" i="18"/>
  <c r="E76" i="18" s="1"/>
  <c r="E19" i="22"/>
  <c r="E22" i="22" s="1"/>
  <c r="E28" i="22" s="1"/>
  <c r="D67" i="14"/>
  <c r="F49" i="20"/>
  <c r="D70" i="20"/>
  <c r="D75" i="18"/>
  <c r="D76" i="18" s="1"/>
  <c r="G10" i="21"/>
  <c r="H9" i="21"/>
  <c r="I15" i="21"/>
  <c r="I27" i="21" s="1"/>
  <c r="I14" i="21"/>
  <c r="H26" i="21"/>
  <c r="H22" i="21"/>
  <c r="H23" i="21" s="1"/>
  <c r="G32" i="14"/>
  <c r="C93" i="24" l="1"/>
  <c r="H56" i="20"/>
  <c r="H55" i="20"/>
  <c r="H54" i="20"/>
  <c r="H53" i="20"/>
  <c r="H52" i="20"/>
  <c r="H48" i="20"/>
  <c r="H47" i="20"/>
  <c r="H46" i="20"/>
  <c r="I10" i="14"/>
  <c r="I29" i="14" s="1"/>
  <c r="H38" i="14"/>
  <c r="H16" i="22" s="1"/>
  <c r="H46" i="14"/>
  <c r="F59" i="20"/>
  <c r="G57" i="20"/>
  <c r="I45" i="14"/>
  <c r="I42" i="14"/>
  <c r="I44" i="14"/>
  <c r="I43" i="14"/>
  <c r="I41" i="14"/>
  <c r="G15" i="22"/>
  <c r="F89" i="24" s="1"/>
  <c r="G56" i="14"/>
  <c r="K11" i="22"/>
  <c r="K12" i="22" s="1"/>
  <c r="J5" i="21"/>
  <c r="I122" i="24" s="1"/>
  <c r="H128" i="24"/>
  <c r="H132" i="24" s="1"/>
  <c r="I14" i="22"/>
  <c r="H88" i="24" s="1"/>
  <c r="J26" i="14"/>
  <c r="H24" i="21"/>
  <c r="C105" i="24"/>
  <c r="D106" i="24"/>
  <c r="G133" i="24"/>
  <c r="C107" i="24"/>
  <c r="C106" i="24"/>
  <c r="D91" i="24"/>
  <c r="F26" i="22"/>
  <c r="F19" i="22"/>
  <c r="F22" i="22" s="1"/>
  <c r="E67" i="14"/>
  <c r="E69" i="20"/>
  <c r="E70" i="20" s="1"/>
  <c r="G49" i="20"/>
  <c r="G26" i="22"/>
  <c r="F75" i="18"/>
  <c r="F76" i="18" s="1"/>
  <c r="H10" i="21"/>
  <c r="I9" i="21"/>
  <c r="I26" i="21"/>
  <c r="I34" i="21" s="1"/>
  <c r="I22" i="21"/>
  <c r="I23" i="21" s="1"/>
  <c r="J14" i="21"/>
  <c r="H32" i="14"/>
  <c r="H34" i="21"/>
  <c r="J15" i="21"/>
  <c r="J27" i="21" s="1"/>
  <c r="L11" i="22"/>
  <c r="L12" i="22" s="1"/>
  <c r="L15" i="21"/>
  <c r="C100" i="24" l="1"/>
  <c r="C99" i="24"/>
  <c r="D93" i="24"/>
  <c r="C98" i="24"/>
  <c r="C97" i="24"/>
  <c r="I53" i="20"/>
  <c r="I52" i="20"/>
  <c r="I47" i="20"/>
  <c r="I56" i="20"/>
  <c r="I55" i="20"/>
  <c r="I54" i="20"/>
  <c r="I48" i="20"/>
  <c r="I46" i="20"/>
  <c r="I32" i="14"/>
  <c r="I15" i="22" s="1"/>
  <c r="H89" i="24" s="1"/>
  <c r="J10" i="14"/>
  <c r="J29" i="14" s="1"/>
  <c r="G59" i="20"/>
  <c r="H57" i="20"/>
  <c r="I38" i="14"/>
  <c r="I16" i="22" s="1"/>
  <c r="I46" i="14"/>
  <c r="J42" i="14"/>
  <c r="J41" i="14"/>
  <c r="J45" i="14"/>
  <c r="J43" i="14"/>
  <c r="J44" i="14"/>
  <c r="G66" i="14"/>
  <c r="H15" i="22"/>
  <c r="G89" i="24" s="1"/>
  <c r="H56" i="14"/>
  <c r="K5" i="21"/>
  <c r="J122" i="24" s="1"/>
  <c r="I128" i="24"/>
  <c r="I132" i="24" s="1"/>
  <c r="J14" i="22"/>
  <c r="I88" i="24" s="1"/>
  <c r="H133" i="24"/>
  <c r="K26" i="14"/>
  <c r="I24" i="21"/>
  <c r="E106" i="24"/>
  <c r="D105" i="24"/>
  <c r="C96" i="24"/>
  <c r="C94" i="24"/>
  <c r="D107" i="24"/>
  <c r="F28" i="22"/>
  <c r="E29" i="22"/>
  <c r="E91" i="24"/>
  <c r="D29" i="22"/>
  <c r="D32" i="22"/>
  <c r="D34" i="22" s="1"/>
  <c r="F67" i="14"/>
  <c r="G19" i="22"/>
  <c r="F69" i="20"/>
  <c r="F70" i="20" s="1"/>
  <c r="H26" i="22"/>
  <c r="H49" i="20"/>
  <c r="I10" i="21"/>
  <c r="J9" i="21"/>
  <c r="J26" i="21"/>
  <c r="J34" i="21" s="1"/>
  <c r="J22" i="21"/>
  <c r="J23" i="21" s="1"/>
  <c r="K14" i="21"/>
  <c r="K15" i="21"/>
  <c r="K27" i="21" s="1"/>
  <c r="D99" i="24" l="1"/>
  <c r="D100" i="24"/>
  <c r="C101" i="24"/>
  <c r="E93" i="24"/>
  <c r="E100" i="24" s="1"/>
  <c r="D98" i="24"/>
  <c r="D96" i="24"/>
  <c r="D97" i="24"/>
  <c r="J56" i="20"/>
  <c r="J55" i="20"/>
  <c r="J54" i="20"/>
  <c r="J53" i="20"/>
  <c r="J52" i="20"/>
  <c r="J48" i="20"/>
  <c r="J47" i="20"/>
  <c r="J46" i="20"/>
  <c r="J32" i="14"/>
  <c r="J15" i="22" s="1"/>
  <c r="I89" i="24" s="1"/>
  <c r="K10" i="14"/>
  <c r="K29" i="14" s="1"/>
  <c r="L10" i="14"/>
  <c r="L29" i="14" s="1"/>
  <c r="K41" i="14"/>
  <c r="K43" i="14"/>
  <c r="I56" i="14"/>
  <c r="I66" i="14" s="1"/>
  <c r="K45" i="14"/>
  <c r="K42" i="14"/>
  <c r="K44" i="14"/>
  <c r="H59" i="20"/>
  <c r="I57" i="20"/>
  <c r="J46" i="14"/>
  <c r="J38" i="14"/>
  <c r="J16" i="22" s="1"/>
  <c r="L44" i="14"/>
  <c r="L45" i="14"/>
  <c r="L43" i="14"/>
  <c r="L42" i="14"/>
  <c r="L41" i="14"/>
  <c r="H66" i="14"/>
  <c r="H67" i="14" s="1"/>
  <c r="L5" i="21"/>
  <c r="K122" i="24" s="1"/>
  <c r="M11" i="22"/>
  <c r="M12" i="22" s="1"/>
  <c r="I133" i="24"/>
  <c r="J128" i="24"/>
  <c r="J132" i="24" s="1"/>
  <c r="K14" i="22"/>
  <c r="G69" i="20"/>
  <c r="G70" i="20" s="1"/>
  <c r="E105" i="24"/>
  <c r="L26" i="14"/>
  <c r="J24" i="21"/>
  <c r="E107" i="24"/>
  <c r="F91" i="24"/>
  <c r="G22" i="22"/>
  <c r="G28" i="22" s="1"/>
  <c r="D35" i="22"/>
  <c r="E32" i="22"/>
  <c r="D94" i="24"/>
  <c r="G67" i="14"/>
  <c r="H19" i="22"/>
  <c r="H22" i="22" s="1"/>
  <c r="H28" i="22" s="1"/>
  <c r="G75" i="18"/>
  <c r="G76" i="18" s="1"/>
  <c r="I49" i="20"/>
  <c r="J10" i="21"/>
  <c r="I26" i="22"/>
  <c r="K9" i="21"/>
  <c r="M15" i="21"/>
  <c r="M27" i="21" s="1"/>
  <c r="L14" i="21"/>
  <c r="K26" i="21"/>
  <c r="K34" i="21" s="1"/>
  <c r="K22" i="21"/>
  <c r="K23" i="21" s="1"/>
  <c r="L27" i="21"/>
  <c r="M26" i="14"/>
  <c r="D101" i="24" l="1"/>
  <c r="E98" i="24"/>
  <c r="E96" i="24"/>
  <c r="E97" i="24"/>
  <c r="E99" i="24"/>
  <c r="F93" i="24"/>
  <c r="F100" i="24" s="1"/>
  <c r="K56" i="20"/>
  <c r="K55" i="20"/>
  <c r="K54" i="20"/>
  <c r="K53" i="20"/>
  <c r="K52" i="20"/>
  <c r="K48" i="20"/>
  <c r="K47" i="20"/>
  <c r="K46" i="20"/>
  <c r="M10" i="14"/>
  <c r="M29" i="14" s="1"/>
  <c r="K38" i="14"/>
  <c r="K16" i="22" s="1"/>
  <c r="K46" i="14"/>
  <c r="J56" i="14"/>
  <c r="J66" i="14" s="1"/>
  <c r="I59" i="20"/>
  <c r="J57" i="20"/>
  <c r="M45" i="14"/>
  <c r="M41" i="14"/>
  <c r="M44" i="14"/>
  <c r="M42" i="14"/>
  <c r="M43" i="14"/>
  <c r="L46" i="14"/>
  <c r="M5" i="21"/>
  <c r="L122" i="24" s="1"/>
  <c r="N11" i="22"/>
  <c r="N12" i="22" s="1"/>
  <c r="P6" i="22"/>
  <c r="K24" i="21"/>
  <c r="F107" i="24"/>
  <c r="K128" i="24"/>
  <c r="K132" i="24" s="1"/>
  <c r="L14" i="22"/>
  <c r="K88" i="24" s="1"/>
  <c r="J88" i="24"/>
  <c r="G105" i="24"/>
  <c r="F105" i="24"/>
  <c r="J133" i="24"/>
  <c r="F106" i="24"/>
  <c r="L128" i="24"/>
  <c r="L132" i="24" s="1"/>
  <c r="M14" i="22"/>
  <c r="L88" i="24" s="1"/>
  <c r="E34" i="22"/>
  <c r="G91" i="24"/>
  <c r="E94" i="24"/>
  <c r="F29" i="22"/>
  <c r="F32" i="22"/>
  <c r="D36" i="22"/>
  <c r="H69" i="20"/>
  <c r="H70" i="20" s="1"/>
  <c r="I19" i="22"/>
  <c r="I22" i="22" s="1"/>
  <c r="I28" i="22" s="1"/>
  <c r="J26" i="22"/>
  <c r="H75" i="18"/>
  <c r="H76" i="18" s="1"/>
  <c r="J49" i="20"/>
  <c r="K10" i="21"/>
  <c r="L9" i="21"/>
  <c r="M14" i="21"/>
  <c r="L26" i="21"/>
  <c r="L34" i="21" s="1"/>
  <c r="L22" i="21"/>
  <c r="L23" i="21" s="1"/>
  <c r="L32" i="14"/>
  <c r="L15" i="22" s="1"/>
  <c r="L38" i="14"/>
  <c r="L16" i="22" s="1"/>
  <c r="K32" i="14"/>
  <c r="E101" i="24" l="1"/>
  <c r="G93" i="24"/>
  <c r="F98" i="24"/>
  <c r="F96" i="24"/>
  <c r="F97" i="24"/>
  <c r="F99" i="24"/>
  <c r="F94" i="24"/>
  <c r="L56" i="20"/>
  <c r="L55" i="20"/>
  <c r="L54" i="20"/>
  <c r="L53" i="20"/>
  <c r="L52" i="20"/>
  <c r="L48" i="20"/>
  <c r="L47" i="20"/>
  <c r="L46" i="20"/>
  <c r="J59" i="20"/>
  <c r="K57" i="20"/>
  <c r="M46" i="14"/>
  <c r="N41" i="14"/>
  <c r="L24" i="21"/>
  <c r="K15" i="22"/>
  <c r="J89" i="24" s="1"/>
  <c r="K56" i="14"/>
  <c r="L56" i="14"/>
  <c r="N5" i="21"/>
  <c r="M122" i="24" s="1"/>
  <c r="P11" i="22"/>
  <c r="P12" i="22" s="1"/>
  <c r="O11" i="22"/>
  <c r="O12" i="22" s="1"/>
  <c r="L133" i="24"/>
  <c r="N26" i="14"/>
  <c r="G106" i="24"/>
  <c r="K133" i="24"/>
  <c r="G107" i="24"/>
  <c r="F34" i="22"/>
  <c r="F35" i="22" s="1"/>
  <c r="F36" i="22" s="1"/>
  <c r="E35" i="22"/>
  <c r="E36" i="22" s="1"/>
  <c r="K89" i="24"/>
  <c r="H91" i="24"/>
  <c r="H29" i="22"/>
  <c r="H32" i="22"/>
  <c r="G29" i="22"/>
  <c r="G32" i="22"/>
  <c r="J19" i="22"/>
  <c r="I75" i="18"/>
  <c r="I76" i="18" s="1"/>
  <c r="I67" i="14"/>
  <c r="K49" i="20"/>
  <c r="J67" i="14"/>
  <c r="I69" i="20"/>
  <c r="I70" i="20" s="1"/>
  <c r="K26" i="22"/>
  <c r="L10" i="21"/>
  <c r="M9" i="21"/>
  <c r="N15" i="21"/>
  <c r="N27" i="21" s="1"/>
  <c r="N14" i="21"/>
  <c r="M26" i="21"/>
  <c r="M34" i="21" s="1"/>
  <c r="M22" i="21"/>
  <c r="M23" i="21" s="1"/>
  <c r="M32" i="14"/>
  <c r="M38" i="14"/>
  <c r="M16" i="22" s="1"/>
  <c r="G99" i="24" l="1"/>
  <c r="G100" i="24"/>
  <c r="F101" i="24"/>
  <c r="G98" i="24"/>
  <c r="G96" i="24"/>
  <c r="G97" i="24"/>
  <c r="H93" i="24"/>
  <c r="M54" i="20"/>
  <c r="M48" i="20"/>
  <c r="M46" i="20"/>
  <c r="M56" i="20"/>
  <c r="M55" i="20"/>
  <c r="M53" i="20"/>
  <c r="M52" i="20"/>
  <c r="M47" i="20"/>
  <c r="N44" i="14"/>
  <c r="N43" i="14"/>
  <c r="N10" i="14"/>
  <c r="N29" i="14" s="1"/>
  <c r="N45" i="14"/>
  <c r="N42" i="14"/>
  <c r="K59" i="20"/>
  <c r="L57" i="20"/>
  <c r="O43" i="14"/>
  <c r="L66" i="14"/>
  <c r="K66" i="14"/>
  <c r="M15" i="22"/>
  <c r="L89" i="24" s="1"/>
  <c r="M56" i="14"/>
  <c r="O5" i="21"/>
  <c r="N122" i="24" s="1"/>
  <c r="Q17" i="22"/>
  <c r="Q31" i="22"/>
  <c r="Q21" i="22"/>
  <c r="Q18" i="22"/>
  <c r="Q25" i="22"/>
  <c r="J69" i="20"/>
  <c r="M24" i="21"/>
  <c r="M128" i="24"/>
  <c r="M132" i="24" s="1"/>
  <c r="N14" i="22"/>
  <c r="M88" i="24" s="1"/>
  <c r="H105" i="24"/>
  <c r="P25" i="14"/>
  <c r="H106" i="24"/>
  <c r="J75" i="18"/>
  <c r="J76" i="18" s="1"/>
  <c r="H107" i="24"/>
  <c r="I105" i="24"/>
  <c r="I91" i="24"/>
  <c r="J22" i="22"/>
  <c r="J28" i="22" s="1"/>
  <c r="H34" i="22"/>
  <c r="H35" i="22" s="1"/>
  <c r="H36" i="22" s="1"/>
  <c r="G34" i="22"/>
  <c r="G35" i="22" s="1"/>
  <c r="G94" i="24"/>
  <c r="I29" i="22"/>
  <c r="I32" i="22"/>
  <c r="K19" i="22"/>
  <c r="K22" i="22" s="1"/>
  <c r="K28" i="22" s="1"/>
  <c r="L26" i="22"/>
  <c r="K75" i="18"/>
  <c r="K76" i="18" s="1"/>
  <c r="L49" i="20"/>
  <c r="M10" i="21"/>
  <c r="N9" i="21"/>
  <c r="N26" i="21"/>
  <c r="N34" i="21" s="1"/>
  <c r="N22" i="21"/>
  <c r="N23" i="21" s="1"/>
  <c r="O15" i="21"/>
  <c r="O14" i="21"/>
  <c r="P22" i="14"/>
  <c r="H99" i="24" l="1"/>
  <c r="H100" i="24"/>
  <c r="H98" i="24"/>
  <c r="H96" i="24"/>
  <c r="H97" i="24"/>
  <c r="G101" i="24"/>
  <c r="I93" i="24"/>
  <c r="N56" i="20"/>
  <c r="N55" i="20"/>
  <c r="N54" i="20"/>
  <c r="N53" i="20"/>
  <c r="N52" i="20"/>
  <c r="N48" i="20"/>
  <c r="N47" i="20"/>
  <c r="N46" i="20"/>
  <c r="P43" i="14"/>
  <c r="N32" i="14"/>
  <c r="N15" i="22" s="1"/>
  <c r="M89" i="24" s="1"/>
  <c r="P31" i="14"/>
  <c r="O10" i="14"/>
  <c r="O29" i="14" s="1"/>
  <c r="P29" i="14" s="1"/>
  <c r="N38" i="14"/>
  <c r="N16" i="22" s="1"/>
  <c r="N46" i="14"/>
  <c r="P36" i="14"/>
  <c r="O44" i="14"/>
  <c r="P44" i="14" s="1"/>
  <c r="P37" i="14"/>
  <c r="O45" i="14"/>
  <c r="P45" i="14" s="1"/>
  <c r="O41" i="14"/>
  <c r="P41" i="14" s="1"/>
  <c r="O42" i="14"/>
  <c r="P42" i="14" s="1"/>
  <c r="L59" i="20"/>
  <c r="M57" i="20"/>
  <c r="M66" i="14"/>
  <c r="K67" i="14"/>
  <c r="I107" i="24"/>
  <c r="J70" i="20"/>
  <c r="P26" i="14"/>
  <c r="K69" i="20"/>
  <c r="K70" i="20" s="1"/>
  <c r="I106" i="24"/>
  <c r="N24" i="21"/>
  <c r="O26" i="14"/>
  <c r="M133" i="24"/>
  <c r="J106" i="24"/>
  <c r="I34" i="22"/>
  <c r="I35" i="22" s="1"/>
  <c r="I36" i="22" s="1"/>
  <c r="H94" i="24"/>
  <c r="J91" i="24"/>
  <c r="G36" i="22"/>
  <c r="L19" i="22"/>
  <c r="L22" i="22" s="1"/>
  <c r="L28" i="22" s="1"/>
  <c r="L67" i="14"/>
  <c r="M49" i="20"/>
  <c r="M26" i="22"/>
  <c r="N10" i="21"/>
  <c r="O27" i="21"/>
  <c r="P27" i="21" s="1"/>
  <c r="P15" i="21"/>
  <c r="P5" i="21"/>
  <c r="O9" i="21"/>
  <c r="P14" i="21"/>
  <c r="O26" i="21"/>
  <c r="O22" i="21"/>
  <c r="O23" i="21" s="1"/>
  <c r="P30" i="14"/>
  <c r="I99" i="24" l="1"/>
  <c r="I100" i="24"/>
  <c r="H101" i="24"/>
  <c r="I94" i="24"/>
  <c r="J93" i="24"/>
  <c r="I98" i="24"/>
  <c r="I96" i="24"/>
  <c r="I97" i="24"/>
  <c r="O56" i="20"/>
  <c r="O55" i="20"/>
  <c r="P55" i="20" s="1"/>
  <c r="O54" i="20"/>
  <c r="O53" i="20"/>
  <c r="P53" i="20" s="1"/>
  <c r="O52" i="20"/>
  <c r="O48" i="20"/>
  <c r="O47" i="20"/>
  <c r="O46" i="20"/>
  <c r="P46" i="19"/>
  <c r="P45" i="19"/>
  <c r="N56" i="14"/>
  <c r="O38" i="14"/>
  <c r="O16" i="22" s="1"/>
  <c r="P35" i="14"/>
  <c r="P38" i="14" s="1"/>
  <c r="P46" i="14"/>
  <c r="O46" i="14"/>
  <c r="M59" i="20"/>
  <c r="P56" i="20"/>
  <c r="P48" i="20"/>
  <c r="P54" i="20"/>
  <c r="P47" i="20"/>
  <c r="N57" i="20"/>
  <c r="N66" i="14"/>
  <c r="L75" i="18"/>
  <c r="L76" i="18" s="1"/>
  <c r="J105" i="24"/>
  <c r="J107" i="24"/>
  <c r="O32" i="14"/>
  <c r="O15" i="22" s="1"/>
  <c r="N89" i="24" s="1"/>
  <c r="P32" i="14"/>
  <c r="L69" i="20"/>
  <c r="L70" i="20" s="1"/>
  <c r="O24" i="21"/>
  <c r="N128" i="24"/>
  <c r="N132" i="24" s="1"/>
  <c r="O14" i="22"/>
  <c r="K105" i="24"/>
  <c r="K91" i="24"/>
  <c r="J29" i="22"/>
  <c r="J32" i="22"/>
  <c r="K29" i="22"/>
  <c r="K32" i="22"/>
  <c r="M19" i="22"/>
  <c r="M22" i="22" s="1"/>
  <c r="M28" i="22" s="1"/>
  <c r="N49" i="20"/>
  <c r="N26" i="22"/>
  <c r="P9" i="21"/>
  <c r="O10" i="21"/>
  <c r="O34" i="21"/>
  <c r="P26" i="21"/>
  <c r="P34" i="21" s="1"/>
  <c r="P22" i="21"/>
  <c r="P23" i="21" s="1"/>
  <c r="J99" i="24" l="1"/>
  <c r="J100" i="24"/>
  <c r="I101" i="24"/>
  <c r="K93" i="24"/>
  <c r="J98" i="24"/>
  <c r="J96" i="24"/>
  <c r="J97" i="24"/>
  <c r="P16" i="22"/>
  <c r="P56" i="14"/>
  <c r="P66" i="14" s="1"/>
  <c r="P43" i="19"/>
  <c r="N59" i="20"/>
  <c r="O57" i="20"/>
  <c r="O56" i="14"/>
  <c r="K106" i="24"/>
  <c r="P15" i="22"/>
  <c r="O89" i="24" s="1"/>
  <c r="K107" i="24"/>
  <c r="P24" i="21"/>
  <c r="N133" i="24"/>
  <c r="N88" i="24"/>
  <c r="P14" i="22"/>
  <c r="J34" i="22"/>
  <c r="J35" i="22" s="1"/>
  <c r="J36" i="22" s="1"/>
  <c r="K34" i="22"/>
  <c r="K35" i="22" s="1"/>
  <c r="K36" i="22" s="1"/>
  <c r="L91" i="24"/>
  <c r="L32" i="22"/>
  <c r="J94" i="24"/>
  <c r="L29" i="22"/>
  <c r="M75" i="18"/>
  <c r="M76" i="18" s="1"/>
  <c r="M69" i="20"/>
  <c r="M70" i="20" s="1"/>
  <c r="N75" i="18"/>
  <c r="N76" i="18" s="1"/>
  <c r="N19" i="22"/>
  <c r="N22" i="22" s="1"/>
  <c r="N28" i="22" s="1"/>
  <c r="M67" i="14"/>
  <c r="P52" i="20"/>
  <c r="P57" i="20" s="1"/>
  <c r="P46" i="20"/>
  <c r="P49" i="20" s="1"/>
  <c r="O49" i="20"/>
  <c r="K99" i="24" l="1"/>
  <c r="K100" i="24"/>
  <c r="L93" i="24"/>
  <c r="J101" i="24"/>
  <c r="K98" i="24"/>
  <c r="K96" i="24"/>
  <c r="K97" i="24"/>
  <c r="Q16" i="22"/>
  <c r="O59" i="20"/>
  <c r="P59" i="20"/>
  <c r="O66" i="14"/>
  <c r="Q15" i="22"/>
  <c r="O88" i="24"/>
  <c r="Q14" i="22"/>
  <c r="L107" i="24"/>
  <c r="L106" i="24"/>
  <c r="L105" i="24"/>
  <c r="M106" i="24"/>
  <c r="L34" i="22"/>
  <c r="L35" i="22" s="1"/>
  <c r="L36" i="22" s="1"/>
  <c r="M91" i="24"/>
  <c r="K94" i="24"/>
  <c r="M29" i="22"/>
  <c r="M32" i="22"/>
  <c r="O26" i="22"/>
  <c r="O19" i="22"/>
  <c r="N67" i="14"/>
  <c r="N69" i="20"/>
  <c r="N70" i="20" s="1"/>
  <c r="L99" i="24" l="1"/>
  <c r="L100" i="24"/>
  <c r="M93" i="24"/>
  <c r="M100" i="24" s="1"/>
  <c r="M99" i="24"/>
  <c r="K101" i="24"/>
  <c r="L98" i="24"/>
  <c r="L96" i="24"/>
  <c r="L97" i="24"/>
  <c r="M107" i="24"/>
  <c r="M105" i="24"/>
  <c r="N91" i="24"/>
  <c r="O22" i="22"/>
  <c r="O28" i="22" s="1"/>
  <c r="M34" i="22"/>
  <c r="M35" i="22" s="1"/>
  <c r="M36" i="22" s="1"/>
  <c r="P26" i="22"/>
  <c r="Q24" i="22"/>
  <c r="N29" i="22"/>
  <c r="L94" i="24"/>
  <c r="P19" i="22"/>
  <c r="P22" i="22" s="1"/>
  <c r="O67" i="14"/>
  <c r="P69" i="20"/>
  <c r="P70" i="20" s="1"/>
  <c r="O75" i="18"/>
  <c r="O76" i="18" s="1"/>
  <c r="P75" i="18"/>
  <c r="P76" i="18" s="1"/>
  <c r="P67" i="14"/>
  <c r="N93" i="24" l="1"/>
  <c r="N100" i="24" s="1"/>
  <c r="M98" i="24"/>
  <c r="M96" i="24"/>
  <c r="M97" i="24"/>
  <c r="L101" i="24"/>
  <c r="N106" i="24"/>
  <c r="O107" i="24"/>
  <c r="O105" i="24"/>
  <c r="N105" i="24"/>
  <c r="O106" i="24"/>
  <c r="P28" i="22"/>
  <c r="N32" i="22"/>
  <c r="Q26" i="22"/>
  <c r="M94" i="24"/>
  <c r="O91" i="24"/>
  <c r="Q19" i="22"/>
  <c r="O69" i="20"/>
  <c r="O70" i="20" s="1"/>
  <c r="N94" i="24" l="1"/>
  <c r="N99" i="24"/>
  <c r="O93" i="24"/>
  <c r="O100" i="24" s="1"/>
  <c r="M101" i="24"/>
  <c r="N98" i="24"/>
  <c r="N97" i="24"/>
  <c r="N96" i="24"/>
  <c r="N107" i="24"/>
  <c r="N34" i="22"/>
  <c r="N35" i="22" s="1"/>
  <c r="N36" i="22" s="1"/>
  <c r="Q22" i="22"/>
  <c r="O29" i="22"/>
  <c r="O32" i="22"/>
  <c r="N101" i="24" l="1"/>
  <c r="O98" i="24"/>
  <c r="O97" i="24"/>
  <c r="O96" i="24"/>
  <c r="O99" i="24"/>
  <c r="O34" i="22"/>
  <c r="P34" i="22" s="1"/>
  <c r="Q34" i="22" s="1"/>
  <c r="O94" i="24"/>
  <c r="O101" i="24" l="1"/>
  <c r="O35" i="22"/>
  <c r="O36" i="22" s="1"/>
  <c r="Q28" i="22"/>
  <c r="P29" i="22"/>
  <c r="P32" i="22"/>
  <c r="Q32" i="22" s="1"/>
  <c r="P35" i="22" l="1"/>
  <c r="P36" i="22" s="1"/>
  <c r="Q35" i="22" l="1"/>
  <c r="D48" i="19"/>
  <c r="D58" i="19" s="1"/>
  <c r="D68" i="19" s="1"/>
  <c r="P47" i="19"/>
  <c r="E48" i="19"/>
  <c r="F48" i="19"/>
  <c r="G48" i="19"/>
  <c r="H48" i="19"/>
  <c r="I48" i="19"/>
  <c r="J48" i="19"/>
  <c r="K48" i="19"/>
  <c r="L48" i="19"/>
  <c r="M48" i="19"/>
  <c r="N48" i="19"/>
  <c r="O48" i="19"/>
  <c r="E58" i="19" l="1"/>
  <c r="E68" i="19" s="1"/>
  <c r="L58" i="19"/>
  <c r="L68" i="19" s="1"/>
  <c r="H58" i="19"/>
  <c r="H68" i="19" s="1"/>
  <c r="H69" i="19" s="1"/>
  <c r="M58" i="19"/>
  <c r="M68" i="19" s="1"/>
  <c r="O58" i="19"/>
  <c r="O68" i="19" s="1"/>
  <c r="K58" i="19"/>
  <c r="K68" i="19" s="1"/>
  <c r="G58" i="19"/>
  <c r="G68" i="19" s="1"/>
  <c r="I58" i="19"/>
  <c r="I68" i="19" s="1"/>
  <c r="N58" i="19"/>
  <c r="N68" i="19" s="1"/>
  <c r="J58" i="19"/>
  <c r="J68" i="19" s="1"/>
  <c r="F58" i="19"/>
  <c r="F68" i="19" s="1"/>
  <c r="P48" i="19"/>
  <c r="D69" i="19"/>
  <c r="C108" i="24"/>
  <c r="E69" i="19" l="1"/>
  <c r="D108" i="24"/>
  <c r="D110" i="24" s="1"/>
  <c r="D117" i="24" s="1"/>
  <c r="G69" i="19"/>
  <c r="F108" i="24"/>
  <c r="F110" i="24" s="1"/>
  <c r="F117" i="24" s="1"/>
  <c r="G108" i="24"/>
  <c r="G110" i="24" s="1"/>
  <c r="G117" i="24" s="1"/>
  <c r="N108" i="24"/>
  <c r="N110" i="24" s="1"/>
  <c r="N117" i="24" s="1"/>
  <c r="O69" i="19"/>
  <c r="K69" i="19"/>
  <c r="J108" i="24"/>
  <c r="L108" i="24"/>
  <c r="L110" i="24" s="1"/>
  <c r="L117" i="24" s="1"/>
  <c r="M69" i="19"/>
  <c r="N69" i="19"/>
  <c r="M108" i="24"/>
  <c r="M110" i="24" s="1"/>
  <c r="M117" i="24" s="1"/>
  <c r="I69" i="19"/>
  <c r="H108" i="24"/>
  <c r="H110" i="24" s="1"/>
  <c r="H117" i="24" s="1"/>
  <c r="L69" i="19"/>
  <c r="K108" i="24"/>
  <c r="K110" i="24" s="1"/>
  <c r="K117" i="24" s="1"/>
  <c r="F69" i="19"/>
  <c r="E108" i="24"/>
  <c r="I108" i="24"/>
  <c r="I110" i="24" s="1"/>
  <c r="I117" i="24" s="1"/>
  <c r="J69" i="19"/>
  <c r="P58" i="19"/>
  <c r="P68" i="19" s="1"/>
  <c r="E110" i="24"/>
  <c r="E117" i="24" s="1"/>
  <c r="C110" i="24"/>
  <c r="C117" i="24" s="1"/>
  <c r="J110" i="24"/>
  <c r="J117" i="24" s="1"/>
  <c r="O108" i="24" l="1"/>
  <c r="O110" i="24" s="1"/>
  <c r="O117" i="24" s="1"/>
  <c r="P69" i="19"/>
  <c r="C111" i="24"/>
  <c r="C118" i="24"/>
  <c r="C115" i="24"/>
  <c r="C116" i="24"/>
  <c r="C114" i="24"/>
  <c r="E116" i="24"/>
  <c r="E115" i="24"/>
  <c r="E114" i="24"/>
  <c r="E111" i="24"/>
  <c r="E118" i="24"/>
  <c r="I111" i="24"/>
  <c r="I118" i="24"/>
  <c r="I115" i="24"/>
  <c r="I114" i="24"/>
  <c r="I116" i="24"/>
  <c r="D111" i="24"/>
  <c r="D116" i="24"/>
  <c r="D115" i="24"/>
  <c r="D114" i="24"/>
  <c r="D118" i="24"/>
  <c r="N111" i="24"/>
  <c r="N118" i="24"/>
  <c r="N116" i="24"/>
  <c r="N114" i="24"/>
  <c r="N115" i="24"/>
  <c r="H118" i="24"/>
  <c r="H116" i="24"/>
  <c r="H115" i="24"/>
  <c r="H111" i="24"/>
  <c r="H114" i="24"/>
  <c r="F111" i="24"/>
  <c r="F118" i="24"/>
  <c r="F116" i="24"/>
  <c r="F115" i="24"/>
  <c r="F114" i="24"/>
  <c r="K111" i="24"/>
  <c r="K118" i="24"/>
  <c r="K115" i="24"/>
  <c r="K116" i="24"/>
  <c r="K114" i="24"/>
  <c r="J115" i="24"/>
  <c r="J116" i="24"/>
  <c r="J114" i="24"/>
  <c r="J118" i="24"/>
  <c r="J111" i="24"/>
  <c r="M114" i="24"/>
  <c r="M118" i="24"/>
  <c r="M116" i="24"/>
  <c r="M115" i="24"/>
  <c r="M111" i="24"/>
  <c r="G111" i="24"/>
  <c r="G115" i="24"/>
  <c r="G118" i="24"/>
  <c r="G116" i="24"/>
  <c r="G114" i="24"/>
  <c r="L116" i="24"/>
  <c r="L114" i="24"/>
  <c r="L111" i="24"/>
  <c r="L118" i="24"/>
  <c r="L115" i="24"/>
  <c r="O118" i="24" l="1"/>
  <c r="O111" i="24"/>
  <c r="O116" i="24"/>
  <c r="O114" i="24"/>
  <c r="O115" i="24"/>
  <c r="K119" i="24"/>
  <c r="N119" i="24"/>
  <c r="E119" i="24"/>
  <c r="C119" i="24"/>
  <c r="G119" i="24"/>
  <c r="J119" i="24"/>
  <c r="F119" i="24"/>
  <c r="D119" i="24"/>
  <c r="M119" i="24"/>
  <c r="H119" i="24"/>
  <c r="I119" i="24"/>
  <c r="L119" i="24"/>
  <c r="O119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Xiaomi</author>
  </authors>
  <commentList>
    <comment ref="C18" authorId="0" shapeId="0" xr:uid="{EAD8322F-31C1-435B-9DD5-96A5C0C803A1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applied to spread annual budget by months</t>
        </r>
      </text>
    </comment>
    <comment ref="C23" authorId="0" shapeId="0" xr:uid="{4E4B712D-60E3-4E8C-9240-4290C7B991E9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only 2 categories of employees have bonuses. Bonuses paid out in January</t>
        </r>
      </text>
    </comment>
    <comment ref="C29" authorId="0" shapeId="0" xr:uid="{98EAB55B-0838-4E17-876F-646A5C07C053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paid in January, then only paid on new hires</t>
        </r>
      </text>
    </comment>
    <comment ref="C41" authorId="0" shapeId="0" xr:uid="{3ECC8E86-8597-4E14-BBBA-4E24A7BD439A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per employee
</t>
        </r>
      </text>
    </comment>
    <comment ref="C42" authorId="0" shapeId="0" xr:uid="{D9F155A9-74AD-4274-B207-CE74F109EBFB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per employee
</t>
        </r>
      </text>
    </comment>
    <comment ref="C43" authorId="0" shapeId="0" xr:uid="{F827B514-AA3B-49F4-8D1A-2375AF8EBB2C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per employee
</t>
        </r>
      </text>
    </comment>
    <comment ref="C44" authorId="0" shapeId="0" xr:uid="{DD5C481B-CCB5-40E5-96A3-FFEFE1E41116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per employee
</t>
        </r>
      </text>
    </comment>
    <comment ref="C45" authorId="0" shapeId="0" xr:uid="{673307F1-82D0-4207-A42B-B86283F00252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per employee
</t>
        </r>
      </text>
    </comment>
    <comment ref="C49" authorId="0" shapeId="0" xr:uid="{DCDD1B8E-4D28-4776-8C45-58B3467F4154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budget split by month
</t>
        </r>
      </text>
    </comment>
    <comment ref="C50" authorId="0" shapeId="0" xr:uid="{820C3FDF-4981-4943-A174-38D64E5F6D2C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budget split by month
</t>
        </r>
      </text>
    </comment>
    <comment ref="C51" authorId="0" shapeId="0" xr:uid="{FE1E57E2-5C76-45DA-9E27-8BB11BEE948B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budget split by month
</t>
        </r>
      </text>
    </comment>
    <comment ref="C52" authorId="0" shapeId="0" xr:uid="{C68D0355-1167-4B0B-AFD9-790974E259DC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budget split by month
</t>
        </r>
      </text>
    </comment>
    <comment ref="C53" authorId="0" shapeId="0" xr:uid="{607C5C17-1EF4-4D9F-B6A7-640C4F11A473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budget split by month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Xiaomi</author>
  </authors>
  <commentList>
    <comment ref="C32" authorId="0" shapeId="0" xr:uid="{FA32DAAA-11A5-4406-B9FD-07E5D5B12D43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paid in January</t>
        </r>
      </text>
    </comment>
    <comment ref="C38" authorId="0" shapeId="0" xr:uid="{5CF11480-4EF0-4970-AFCA-1AE30B779C90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paid in January, then only paid on new hires</t>
        </r>
      </text>
    </comment>
    <comment ref="C49" authorId="0" shapeId="0" xr:uid="{704845A1-6B8A-47DF-A448-481044FAAD54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previous year budget is grown at fixed % and split evenly</t>
        </r>
      </text>
    </comment>
    <comment ref="C57" authorId="0" shapeId="0" xr:uid="{35ECBF94-5A2E-4274-8F47-70591D485377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previous year budget is grown at fixed % and split evenly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Xiaomi</author>
  </authors>
  <commentList>
    <comment ref="C26" authorId="0" shapeId="0" xr:uid="{34FCE842-3D3A-440F-9D33-468F5FBD9571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paid in January</t>
        </r>
      </text>
    </comment>
    <comment ref="C32" authorId="0" shapeId="0" xr:uid="{3D467379-72D6-4C4C-897C-F40BA3912F06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paid in January, then only paid on new hires;
excludes outside contractors</t>
        </r>
      </text>
    </comment>
    <comment ref="C33" authorId="0" shapeId="0" xr:uid="{7D43C5E7-E376-4136-95AD-8B066872487F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applied to salary and bonus</t>
        </r>
      </text>
    </comment>
    <comment ref="C38" authorId="0" shapeId="0" xr:uid="{88DB63E5-7D4A-4AA9-9E55-F2BE8F39F980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per employee</t>
        </r>
      </text>
    </comment>
    <comment ref="C39" authorId="0" shapeId="0" xr:uid="{5A0979EC-7BFB-4271-8C9E-51C1EEA67842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per employee</t>
        </r>
      </text>
    </comment>
    <comment ref="C40" authorId="0" shapeId="0" xr:uid="{4AD39602-AA48-4624-916E-71B6EC71E3B8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per employee</t>
        </r>
      </text>
    </comment>
    <comment ref="C44" authorId="0" shapeId="0" xr:uid="{DC2A8FA6-7D88-49F7-82FF-8AF0BFD9674E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Budget allocated for the whole year</t>
        </r>
      </text>
    </comment>
    <comment ref="B45" authorId="0" shapeId="0" xr:uid="{A7F7C55A-68A4-4A8E-8838-80B706A0BFD5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Includes data back-up</t>
        </r>
      </text>
    </comment>
    <comment ref="C45" authorId="0" shapeId="0" xr:uid="{A14FFF37-7564-4508-AC9D-44FE592E165C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Budget allocated for the whole year</t>
        </r>
      </text>
    </comment>
    <comment ref="B46" authorId="0" shapeId="0" xr:uid="{D0D79A93-DBF6-4B3D-9B15-D5526E1F9436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Laptops, tablets, etc.</t>
        </r>
      </text>
    </comment>
    <comment ref="C46" authorId="0" shapeId="0" xr:uid="{9D148F6C-DDC3-45F6-92ED-4DF3BF6B1D65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per employee </t>
        </r>
      </text>
    </comment>
    <comment ref="B47" authorId="0" shapeId="0" xr:uid="{D5FC3B1D-94CD-4FCD-A923-2F3109BEF2B6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devices and data plans</t>
        </r>
      </text>
    </comment>
    <comment ref="C47" authorId="0" shapeId="0" xr:uid="{6FC60F83-E10F-43A8-9465-2804DB5181EF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per employee</t>
        </r>
      </text>
    </comment>
    <comment ref="C48" authorId="0" shapeId="0" xr:uid="{C3B0A665-8ADE-4277-8C28-38223919EAC5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per employee</t>
        </r>
      </text>
    </comment>
    <comment ref="C52" authorId="0" shapeId="0" xr:uid="{3F3371B9-5393-4158-AE76-0A46D661A3BA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per employee</t>
        </r>
      </text>
    </comment>
    <comment ref="C53" authorId="0" shapeId="0" xr:uid="{E92A66F5-DFBE-4202-9EE9-AFC2182012D5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per employee</t>
        </r>
      </text>
    </comment>
    <comment ref="C54" authorId="0" shapeId="0" xr:uid="{3612F1A7-19C5-4634-B572-C54EB74181B3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per employee</t>
        </r>
      </text>
    </comment>
    <comment ref="C55" authorId="0" shapeId="0" xr:uid="{586DADCB-950D-489F-9F1A-34C865415579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per employee</t>
        </r>
      </text>
    </comment>
    <comment ref="C56" authorId="0" shapeId="0" xr:uid="{AB4F1A70-96D9-40D3-99C5-048517D5EA65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per employee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Xiaomi</author>
  </authors>
  <commentList>
    <comment ref="C25" authorId="0" shapeId="0" xr:uid="{424B2AAB-5F3D-4CD7-972B-ACABE9DD4A9C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paid in January</t>
        </r>
      </text>
    </comment>
    <comment ref="C27" authorId="0" shapeId="0" xr:uid="{F31A05B0-C24D-415C-8297-4D0F4079BEA5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applied to salary and bonus</t>
        </r>
      </text>
    </comment>
    <comment ref="C31" authorId="0" shapeId="0" xr:uid="{797AE6F8-4492-4E58-BB4A-6E2512BEBBF3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paid in January, then only paid on new hires</t>
        </r>
      </text>
    </comment>
    <comment ref="C32" authorId="0" shapeId="0" xr:uid="{3D4D030C-95B0-432C-A3F5-B82E5A2EA4D4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applied to salary and bonus</t>
        </r>
      </text>
    </comment>
    <comment ref="C43" authorId="0" shapeId="0" xr:uid="{50EA096C-21DE-4C1B-86DD-AB21C6A98136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25% of annual salary of a supervisor</t>
        </r>
      </text>
    </comment>
    <comment ref="C45" authorId="0" shapeId="0" xr:uid="{D0649313-7F9B-48B9-B416-0F064F6704DD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per employee - total organization</t>
        </r>
      </text>
    </comment>
    <comment ref="C46" authorId="0" shapeId="0" xr:uid="{C13A9D6A-5AE2-4733-867A-77C9D79A3915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per employee / company-wide</t>
        </r>
      </text>
    </comment>
    <comment ref="C47" authorId="0" shapeId="0" xr:uid="{0FD48434-E876-404F-ABB5-6C9DC3C62F74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per employee
</t>
        </r>
      </text>
    </comment>
    <comment ref="C51" authorId="0" shapeId="0" xr:uid="{AF22A6C8-950B-4B20-8C97-1AB265D26AFA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budget split by month
</t>
        </r>
      </text>
    </comment>
    <comment ref="C52" authorId="0" shapeId="0" xr:uid="{83FA3D50-B75B-40F0-973F-4857B8BB4E19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budget split by month
</t>
        </r>
      </text>
    </comment>
    <comment ref="C53" authorId="0" shapeId="0" xr:uid="{257C8EF7-1004-4D2A-9023-FCC63E974918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budget split by month
</t>
        </r>
      </text>
    </comment>
    <comment ref="C54" authorId="0" shapeId="0" xr:uid="{EDB7EA83-AF65-44EB-A688-5AE174878912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budget split by month
</t>
        </r>
      </text>
    </comment>
    <comment ref="C55" authorId="0" shapeId="0" xr:uid="{E035221E-BEF7-41E9-9F27-A78B775B85B6}">
      <text>
        <r>
          <rPr>
            <b/>
            <sz val="9"/>
            <color indexed="81"/>
            <rFont val="Tahoma"/>
            <family val="2"/>
            <charset val="204"/>
          </rPr>
          <t>Xiaomi:</t>
        </r>
        <r>
          <rPr>
            <sz val="9"/>
            <color indexed="81"/>
            <rFont val="Tahoma"/>
            <family val="2"/>
            <charset val="204"/>
          </rPr>
          <t xml:space="preserve">
budget split by month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<sst xmlns="http://schemas.openxmlformats.org/spreadsheetml/2006/main" count="358" uniqueCount="154">
  <si>
    <t>SMEs</t>
  </si>
  <si>
    <t>Individual</t>
  </si>
  <si>
    <t>Other</t>
  </si>
  <si>
    <t>Large Corporate</t>
  </si>
  <si>
    <t>Medium Corporate</t>
  </si>
  <si>
    <t>Budget</t>
  </si>
  <si>
    <t>Variable Costs</t>
  </si>
  <si>
    <t>[Variable Cost 2]</t>
  </si>
  <si>
    <t>[Variable Cost 3]</t>
  </si>
  <si>
    <t>[Variable Cost 4]</t>
  </si>
  <si>
    <t>[Variable Cost 5]</t>
  </si>
  <si>
    <t>Sales</t>
  </si>
  <si>
    <t>Average Revenue per Client $</t>
  </si>
  <si>
    <t>Annual</t>
  </si>
  <si>
    <t>Client growth (month-to-month)</t>
  </si>
  <si>
    <t>Total Clients</t>
  </si>
  <si>
    <t>Total</t>
  </si>
  <si>
    <t>Year</t>
  </si>
  <si>
    <t>Revenue by Segment</t>
  </si>
  <si>
    <t>Assumptions - Revenue</t>
  </si>
  <si>
    <t>Assumptions - Cost</t>
  </si>
  <si>
    <t>Total Revenue</t>
  </si>
  <si>
    <t>Total New Client Revenue</t>
  </si>
  <si>
    <t xml:space="preserve">New Client Revenue </t>
  </si>
  <si>
    <t>New Hires</t>
  </si>
  <si>
    <t>Change</t>
  </si>
  <si>
    <t>add here &gt;&gt;&gt;</t>
  </si>
  <si>
    <t xml:space="preserve">Clients by Segment </t>
  </si>
  <si>
    <t>Benefits &amp; Perks</t>
  </si>
  <si>
    <t>Travel &amp; Lodging</t>
  </si>
  <si>
    <t>Airfare</t>
  </si>
  <si>
    <t>Accomodation</t>
  </si>
  <si>
    <t>Meals &amp; Entertainment</t>
  </si>
  <si>
    <t xml:space="preserve">Health Insurance </t>
  </si>
  <si>
    <t>401K Contribution</t>
  </si>
  <si>
    <t>Software</t>
  </si>
  <si>
    <t>Vice-President</t>
  </si>
  <si>
    <t>Manager</t>
  </si>
  <si>
    <t>Analyst</t>
  </si>
  <si>
    <t>Admin. / Support</t>
  </si>
  <si>
    <t xml:space="preserve">Personnel </t>
  </si>
  <si>
    <t>Salary</t>
  </si>
  <si>
    <t>Bonus</t>
  </si>
  <si>
    <t>Outside Contractors</t>
  </si>
  <si>
    <t>Supervisor</t>
  </si>
  <si>
    <t>Marketing</t>
  </si>
  <si>
    <t>Advertising</t>
  </si>
  <si>
    <t xml:space="preserve">Display </t>
  </si>
  <si>
    <t>Search</t>
  </si>
  <si>
    <t>Social Media</t>
  </si>
  <si>
    <t>Sponsorships</t>
  </si>
  <si>
    <t>Personnel - Headcount</t>
  </si>
  <si>
    <t xml:space="preserve">Free Product </t>
  </si>
  <si>
    <t>Consultants</t>
  </si>
  <si>
    <t>Market Research</t>
  </si>
  <si>
    <t>Projects / Experiments</t>
  </si>
  <si>
    <t>Bonuses</t>
  </si>
  <si>
    <t>Brand Awareness</t>
  </si>
  <si>
    <t>Start</t>
  </si>
  <si>
    <t>Trainings / Conferences</t>
  </si>
  <si>
    <t>[Variable Cost 1]</t>
  </si>
  <si>
    <t>Other Channel</t>
  </si>
  <si>
    <t>Total Fixed Costs</t>
  </si>
  <si>
    <t>Consolidated Budget</t>
  </si>
  <si>
    <t>Total Costs</t>
  </si>
  <si>
    <t>% of Revenue</t>
  </si>
  <si>
    <t>Prev. Year</t>
  </si>
  <si>
    <t>Monthly</t>
  </si>
  <si>
    <t>annual</t>
  </si>
  <si>
    <t>HR</t>
  </si>
  <si>
    <t>Starting</t>
  </si>
  <si>
    <t>Personnel Recruitment</t>
  </si>
  <si>
    <t>Corporate Brand</t>
  </si>
  <si>
    <t>Conferences</t>
  </si>
  <si>
    <t>IT</t>
  </si>
  <si>
    <t>Servers</t>
  </si>
  <si>
    <t>Client Computing Resources</t>
  </si>
  <si>
    <t>Licenses</t>
  </si>
  <si>
    <t>Subscriptions</t>
  </si>
  <si>
    <t xml:space="preserve">Support / Maintenance </t>
  </si>
  <si>
    <t>Mobile Technology</t>
  </si>
  <si>
    <t>Upgrades</t>
  </si>
  <si>
    <t xml:space="preserve">Cloud </t>
  </si>
  <si>
    <t>Summary</t>
  </si>
  <si>
    <t xml:space="preserve">Sales Reps </t>
  </si>
  <si>
    <t xml:space="preserve">Account Reps </t>
  </si>
  <si>
    <t>New Hires by Position</t>
  </si>
  <si>
    <t>Central</t>
  </si>
  <si>
    <t>% of Annual Salary</t>
  </si>
  <si>
    <t>Learning &amp; Development</t>
  </si>
  <si>
    <t>Headcount by Position</t>
  </si>
  <si>
    <t>Detail by Position</t>
  </si>
  <si>
    <t>Headcount by Department</t>
  </si>
  <si>
    <t>Hardware &amp; Software</t>
  </si>
  <si>
    <t>headcount</t>
  </si>
  <si>
    <t>Vice President</t>
  </si>
  <si>
    <t>Payroll</t>
  </si>
  <si>
    <t xml:space="preserve">Payroll </t>
  </si>
  <si>
    <t>Emergency Hardware Replacement</t>
  </si>
  <si>
    <t>Base Salary</t>
  </si>
  <si>
    <t>Marketing - Advertising</t>
  </si>
  <si>
    <t>Marketing - Other Channel</t>
  </si>
  <si>
    <t>Margin - %</t>
  </si>
  <si>
    <t>Departmental</t>
  </si>
  <si>
    <t>Health Insurance Premium</t>
  </si>
  <si>
    <t>Total Variable Costs</t>
  </si>
  <si>
    <t>Income Before Taxes</t>
  </si>
  <si>
    <t>Net Income</t>
  </si>
  <si>
    <t>Margin %</t>
  </si>
  <si>
    <t>Graphs</t>
  </si>
  <si>
    <t>x`</t>
  </si>
  <si>
    <t>Graph 3 - Costs by Department</t>
  </si>
  <si>
    <t>Interest Expense</t>
  </si>
  <si>
    <t>Income Tax / (Benefit)</t>
  </si>
  <si>
    <t>Headcount</t>
  </si>
  <si>
    <t xml:space="preserve">Network Infrastructure </t>
  </si>
  <si>
    <t>Graph 4 - Headcount</t>
  </si>
  <si>
    <t xml:space="preserve">Graph 5 - Payroll </t>
  </si>
  <si>
    <t>Revenue</t>
  </si>
  <si>
    <t>EBIT / Operating Profit</t>
  </si>
  <si>
    <t>Graphs Output</t>
  </si>
  <si>
    <t>Source Data</t>
  </si>
  <si>
    <t xml:space="preserve">Fixed Cost Category </t>
  </si>
  <si>
    <t>[Cost Category 1]</t>
  </si>
  <si>
    <t>[Cost Category 2]</t>
  </si>
  <si>
    <t>[Cost Category 3]</t>
  </si>
  <si>
    <t>[Cost Category 4]</t>
  </si>
  <si>
    <t>[Cost Category 5]</t>
  </si>
  <si>
    <t xml:space="preserve">Base Salary </t>
  </si>
  <si>
    <t>Comission</t>
  </si>
  <si>
    <t>% Growth</t>
  </si>
  <si>
    <t>Advertising Cost</t>
  </si>
  <si>
    <t>Other Channel Cost</t>
  </si>
  <si>
    <t>Total Headcount</t>
  </si>
  <si>
    <t>Driver</t>
  </si>
  <si>
    <t xml:space="preserve">Hardware </t>
  </si>
  <si>
    <t>New Hires (excluding contractors)</t>
  </si>
  <si>
    <t>Total (excluding contractors)</t>
  </si>
  <si>
    <t>Employment Tax</t>
  </si>
  <si>
    <t xml:space="preserve">Total Headcount </t>
  </si>
  <si>
    <t>Total Headcount (Excl. Outside Contractors)</t>
  </si>
  <si>
    <t>Total New Hires</t>
  </si>
  <si>
    <t>Organizational Support</t>
  </si>
  <si>
    <t>Cost Category</t>
  </si>
  <si>
    <t>Total Headcount (incl. Outside Contractors)</t>
  </si>
  <si>
    <t>Check</t>
  </si>
  <si>
    <t>% of new revenue</t>
  </si>
  <si>
    <t xml:space="preserve">Headcount </t>
  </si>
  <si>
    <t>Sales Representative</t>
  </si>
  <si>
    <t>Account Representative</t>
  </si>
  <si>
    <t>Administrative</t>
  </si>
  <si>
    <t>Annual to Monthly Factor</t>
  </si>
  <si>
    <t>Total New Hires (Excl. Outside Contractors)</t>
  </si>
  <si>
    <t>Graph 2 - Costs 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</si>
</sst>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0%;\(0%\)"/>
    <numFmt numFmtId="165" formatCode="mmm\-yy;@"/>
    <numFmt numFmtId="166" formatCode="0.0%"/>
    <numFmt numFmtId="167" formatCode="0.0"/>
  </numFmts>
  <fonts count="21" x14ac:knownFonts="1">
    <font>
      <sz val="11"/>
      <color theme="1"/>
      <name val="Calibri"/>
      <family val="2"/>
      <scheme val="minor"/>
    </font>
    <font>
      <sz val="16"/>
      <color theme="0"/>
      <name val="Arial"/>
      <family val="2"/>
    </font>
    <font>
      <sz val="14"/>
      <color rgb="FF001DFF"/>
      <name val="Arial"/>
      <family val="2"/>
    </font>
    <font>
      <sz val="20"/>
      <color theme="0"/>
      <name val="Arial"/>
      <family val="2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70C0"/>
      <name val="Arial"/>
      <family val="2"/>
      <charset val="204"/>
    </font>
    <font>
      <sz val="14"/>
      <color rgb="FF001DFF"/>
      <name val="Arial"/>
      <family val="2"/>
      <charset val="204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4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name val="Arial"/>
      <family val="2"/>
      <charset val="204"/>
    </font>
    <font>
      <sz val="14"/>
      <color theme="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color theme="1"/>
      <name val="Calibri"/>
      <family val="2"/>
      <scheme val="minor"/>
    </font>
    <font>
      <i/>
      <sz val="12"/>
      <name val="Arial"/>
      <family val="2"/>
    </font>
    <font>
      <sz val="8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0" fillId="2" borderId="0" xfId="0" applyFill="1"/>
    <xf numFmtId="6" fontId="2" fillId="2" borderId="0" xfId="0" applyNumberFormat="1" applyFont="1" applyFill="1" applyAlignment="1">
      <alignment horizontal="center" vertical="center"/>
    </xf>
    <xf numFmtId="0" fontId="4" fillId="0" borderId="0" xfId="0" applyFont="1"/>
    <xf numFmtId="0" fontId="5" fillId="0" borderId="0" xfId="0" applyFont="1"/>
    <xf numFmtId="1" fontId="4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9" fontId="6" fillId="0" borderId="0" xfId="0" applyNumberFormat="1" applyFont="1"/>
    <xf numFmtId="1" fontId="4" fillId="0" borderId="1" xfId="0" applyNumberFormat="1" applyFont="1" applyBorder="1"/>
    <xf numFmtId="1" fontId="5" fillId="0" borderId="0" xfId="0" applyNumberFormat="1" applyFont="1"/>
    <xf numFmtId="164" fontId="2" fillId="2" borderId="0" xfId="0" applyNumberFormat="1" applyFont="1" applyFill="1" applyAlignment="1">
      <alignment horizontal="right" vertical="center"/>
    </xf>
    <xf numFmtId="0" fontId="5" fillId="0" borderId="1" xfId="0" applyFont="1" applyBorder="1" applyAlignment="1">
      <alignment horizontal="right"/>
    </xf>
    <xf numFmtId="3" fontId="7" fillId="0" borderId="0" xfId="0" applyNumberFormat="1" applyFont="1" applyAlignment="1">
      <alignment horizontal="left"/>
    </xf>
    <xf numFmtId="0" fontId="4" fillId="0" borderId="0" xfId="0" applyFont="1" applyAlignment="1">
      <alignment horizontal="left" indent="1"/>
    </xf>
    <xf numFmtId="3" fontId="7" fillId="0" borderId="0" xfId="0" applyNumberFormat="1" applyFont="1" applyAlignment="1">
      <alignment horizontal="left" indent="1"/>
    </xf>
    <xf numFmtId="0" fontId="0" fillId="0" borderId="0" xfId="0" applyAlignment="1">
      <alignment wrapText="1"/>
    </xf>
    <xf numFmtId="6" fontId="2" fillId="2" borderId="0" xfId="0" applyNumberFormat="1" applyFont="1" applyFill="1" applyAlignment="1">
      <alignment horizontal="right" vertical="center"/>
    </xf>
    <xf numFmtId="165" fontId="5" fillId="0" borderId="0" xfId="0" applyNumberFormat="1" applyFont="1"/>
    <xf numFmtId="0" fontId="5" fillId="0" borderId="0" xfId="0" applyFont="1" applyAlignment="1">
      <alignment horizontal="right"/>
    </xf>
    <xf numFmtId="0" fontId="4" fillId="2" borderId="0" xfId="0" applyFont="1" applyFill="1" applyAlignment="1">
      <alignment horizontal="left" indent="1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9" fontId="2" fillId="2" borderId="0" xfId="0" applyNumberFormat="1" applyFont="1" applyFill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6" fontId="2" fillId="2" borderId="1" xfId="0" applyNumberFormat="1" applyFont="1" applyFill="1" applyBorder="1" applyAlignment="1">
      <alignment horizontal="center" vertical="center"/>
    </xf>
    <xf numFmtId="6" fontId="10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 wrapText="1"/>
    </xf>
    <xf numFmtId="6" fontId="8" fillId="2" borderId="0" xfId="0" applyNumberFormat="1" applyFont="1" applyFill="1" applyAlignment="1">
      <alignment horizontal="center" vertical="center"/>
    </xf>
    <xf numFmtId="6" fontId="8" fillId="2" borderId="1" xfId="0" applyNumberFormat="1" applyFont="1" applyFill="1" applyBorder="1" applyAlignment="1">
      <alignment horizontal="center" vertical="center"/>
    </xf>
    <xf numFmtId="6" fontId="11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1" fontId="14" fillId="0" borderId="1" xfId="0" applyNumberFormat="1" applyFont="1" applyBorder="1" applyAlignment="1">
      <alignment horizontal="center"/>
    </xf>
    <xf numFmtId="40" fontId="2" fillId="2" borderId="0" xfId="0" applyNumberFormat="1" applyFont="1" applyFill="1" applyAlignment="1">
      <alignment horizontal="center" vertical="center"/>
    </xf>
    <xf numFmtId="40" fontId="8" fillId="2" borderId="0" xfId="0" applyNumberFormat="1" applyFont="1" applyFill="1" applyAlignment="1">
      <alignment horizontal="center" vertical="center"/>
    </xf>
    <xf numFmtId="165" fontId="5" fillId="0" borderId="1" xfId="0" applyNumberFormat="1" applyFont="1" applyBorder="1" applyAlignment="1">
      <alignment horizontal="left"/>
    </xf>
    <xf numFmtId="9" fontId="8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" fontId="15" fillId="0" borderId="0" xfId="0" applyNumberFormat="1" applyFont="1"/>
    <xf numFmtId="0" fontId="4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166" fontId="18" fillId="2" borderId="0" xfId="0" applyNumberFormat="1" applyFont="1" applyFill="1" applyAlignment="1">
      <alignment horizontal="center" vertical="center"/>
    </xf>
    <xf numFmtId="6" fontId="14" fillId="2" borderId="1" xfId="0" applyNumberFormat="1" applyFont="1" applyFill="1" applyBorder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166" fontId="14" fillId="2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6" fontId="14" fillId="2" borderId="0" xfId="0" applyNumberFormat="1" applyFont="1" applyFill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6" fontId="4" fillId="0" borderId="0" xfId="0" applyNumberFormat="1" applyFont="1"/>
    <xf numFmtId="0" fontId="10" fillId="0" borderId="0" xfId="0" applyFont="1"/>
    <xf numFmtId="3" fontId="14" fillId="0" borderId="0" xfId="0" applyNumberFormat="1" applyFont="1" applyAlignment="1">
      <alignment horizontal="left" indent="1"/>
    </xf>
    <xf numFmtId="167" fontId="4" fillId="0" borderId="0" xfId="0" applyNumberFormat="1" applyFont="1" applyAlignment="1">
      <alignment horizontal="center"/>
    </xf>
    <xf numFmtId="6" fontId="19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9" fontId="10" fillId="2" borderId="0" xfId="0" applyNumberFormat="1" applyFont="1" applyFill="1" applyAlignment="1">
      <alignment horizontal="center" vertical="center"/>
    </xf>
    <xf numFmtId="6" fontId="20" fillId="2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/>
    <xf numFmtId="0" fontId="1" fillId="3" borderId="0" xfId="0" applyFont="1" applyFill="1" applyAlignment="1">
      <alignment horizontal="left" vertical="center" wrapText="1"/>
    </xf>
  </cellXfs>
  <cellStyles count="2">
    <cellStyle name="Normal" xfId="0" builtinId="0"/>
    <cellStyle name="Normal 2" xfId="1" xr:uid="{783A0788-4802-4116-AAA6-13ED3095BA3B}"/>
  </cellStyles>
  <dxfs count="0"/>
  <tableStyles count="0" defaultTableStyle="TableStyleMedium2" defaultPivotStyle="PivotStyleLight16"/>
  <colors>
    <mruColors>
      <color rgb="FF001DFF"/>
      <color rgb="FFFF8F8F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Revenue by Segment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943754583038895E-2"/>
          <c:y val="0.12806736530829291"/>
          <c:w val="0.94977519166917301"/>
          <c:h val="0.66663316126689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Consolidated!$B$6</c:f>
              <c:strCache>
                <c:ptCount val="1"/>
                <c:pt idx="0">
                  <c:v>Large Corporate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Consolidated!$C$5:$O$5</c15:sqref>
                  </c15:fullRef>
                </c:ext>
              </c:extLst>
              <c:f>Consolidated!$D$5:$O$5</c:f>
              <c:numCache>
                <c:formatCode>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45354</c:v>
                </c:pt>
                <c:pt idx="3">
                  <c:v>45385</c:v>
                </c:pt>
                <c:pt idx="4">
                  <c:v>45416</c:v>
                </c:pt>
                <c:pt idx="5">
                  <c:v>45447</c:v>
                </c:pt>
                <c:pt idx="6">
                  <c:v>45478</c:v>
                </c:pt>
                <c:pt idx="7">
                  <c:v>45509</c:v>
                </c:pt>
                <c:pt idx="8">
                  <c:v>45540</c:v>
                </c:pt>
                <c:pt idx="9">
                  <c:v>45571</c:v>
                </c:pt>
                <c:pt idx="10">
                  <c:v>45602</c:v>
                </c:pt>
                <c:pt idx="11">
                  <c:v>45633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Consolidated!$C$6:$O$6</c15:sqref>
                  </c15:fullRef>
                </c:ext>
              </c:extLst>
              <c:f>Consolidated!$D$6:$O$6</c:f>
              <c:numCache>
                <c:formatCode>"$"#,##0_);[Red]\("$"#,##0\)</c:formatCode>
                <c:ptCount val="12"/>
                <c:pt idx="0">
                  <c:v>2575000</c:v>
                </c:pt>
                <c:pt idx="1">
                  <c:v>2652250</c:v>
                </c:pt>
                <c:pt idx="2">
                  <c:v>2731817.5</c:v>
                </c:pt>
                <c:pt idx="3">
                  <c:v>2813772.0249999999</c:v>
                </c:pt>
                <c:pt idx="4">
                  <c:v>2898185.1857500002</c:v>
                </c:pt>
                <c:pt idx="5">
                  <c:v>2985130.7413225002</c:v>
                </c:pt>
                <c:pt idx="6">
                  <c:v>3074684.6635621749</c:v>
                </c:pt>
                <c:pt idx="7">
                  <c:v>3166925.2034690403</c:v>
                </c:pt>
                <c:pt idx="8">
                  <c:v>3261932.9595731115</c:v>
                </c:pt>
                <c:pt idx="9">
                  <c:v>3359790.9483603053</c:v>
                </c:pt>
                <c:pt idx="10">
                  <c:v>3460584.6768111149</c:v>
                </c:pt>
                <c:pt idx="11">
                  <c:v>3564402.2171154483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B-4C0C-9BD6-E3D862A437F0}"/>
            </c:ext>
          </c:extLst>
        </c:ser>
        <c:ser>
          <c:idx val="1"/>
          <c:order val="1"/>
          <c:tx>
            <c:strRef>
              <c:f>Consolidated!$B$7</c:f>
              <c:strCache>
                <c:ptCount val="1"/>
                <c:pt idx="0">
                  <c:v>Medium Corporate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Consolidated!$C$5:$O$5</c15:sqref>
                  </c15:fullRef>
                </c:ext>
              </c:extLst>
              <c:f>Consolidated!$D$5:$O$5</c:f>
              <c:numCache>
                <c:formatCode>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45354</c:v>
                </c:pt>
                <c:pt idx="3">
                  <c:v>45385</c:v>
                </c:pt>
                <c:pt idx="4">
                  <c:v>45416</c:v>
                </c:pt>
                <c:pt idx="5">
                  <c:v>45447</c:v>
                </c:pt>
                <c:pt idx="6">
                  <c:v>45478</c:v>
                </c:pt>
                <c:pt idx="7">
                  <c:v>45509</c:v>
                </c:pt>
                <c:pt idx="8">
                  <c:v>45540</c:v>
                </c:pt>
                <c:pt idx="9">
                  <c:v>45571</c:v>
                </c:pt>
                <c:pt idx="10">
                  <c:v>45602</c:v>
                </c:pt>
                <c:pt idx="11">
                  <c:v>45633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Consolidated!$C$7:$O$7</c15:sqref>
                  </c15:fullRef>
                </c:ext>
              </c:extLst>
              <c:f>Consolidated!$D$7:$O$7</c:f>
              <c:numCache>
                <c:formatCode>"$"#,##0_);[Red]\("$"#,##0\)</c:formatCode>
                <c:ptCount val="12"/>
                <c:pt idx="0">
                  <c:v>1545000</c:v>
                </c:pt>
                <c:pt idx="1">
                  <c:v>1591350</c:v>
                </c:pt>
                <c:pt idx="2">
                  <c:v>1639090.5</c:v>
                </c:pt>
                <c:pt idx="3">
                  <c:v>1688263.2150000001</c:v>
                </c:pt>
                <c:pt idx="4">
                  <c:v>1738911.11145</c:v>
                </c:pt>
                <c:pt idx="5">
                  <c:v>1791078.4447935</c:v>
                </c:pt>
                <c:pt idx="6">
                  <c:v>1844810.7981373051</c:v>
                </c:pt>
                <c:pt idx="7">
                  <c:v>1900155.1220814243</c:v>
                </c:pt>
                <c:pt idx="8">
                  <c:v>1957159.775743867</c:v>
                </c:pt>
                <c:pt idx="9">
                  <c:v>2015874.5690161833</c:v>
                </c:pt>
                <c:pt idx="10">
                  <c:v>2076350.806086669</c:v>
                </c:pt>
                <c:pt idx="11">
                  <c:v>2138641.3302692687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1B-4C0C-9BD6-E3D862A437F0}"/>
            </c:ext>
          </c:extLst>
        </c:ser>
        <c:ser>
          <c:idx val="2"/>
          <c:order val="2"/>
          <c:tx>
            <c:strRef>
              <c:f>Consolidated!$B$8</c:f>
              <c:strCache>
                <c:ptCount val="1"/>
                <c:pt idx="0">
                  <c:v>SMEs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Consolidated!$C$5:$O$5</c15:sqref>
                  </c15:fullRef>
                </c:ext>
              </c:extLst>
              <c:f>Consolidated!$D$5:$O$5</c:f>
              <c:numCache>
                <c:formatCode>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45354</c:v>
                </c:pt>
                <c:pt idx="3">
                  <c:v>45385</c:v>
                </c:pt>
                <c:pt idx="4">
                  <c:v>45416</c:v>
                </c:pt>
                <c:pt idx="5">
                  <c:v>45447</c:v>
                </c:pt>
                <c:pt idx="6">
                  <c:v>45478</c:v>
                </c:pt>
                <c:pt idx="7">
                  <c:v>45509</c:v>
                </c:pt>
                <c:pt idx="8">
                  <c:v>45540</c:v>
                </c:pt>
                <c:pt idx="9">
                  <c:v>45571</c:v>
                </c:pt>
                <c:pt idx="10">
                  <c:v>45602</c:v>
                </c:pt>
                <c:pt idx="11">
                  <c:v>45633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Consolidated!$C$8:$O$8</c15:sqref>
                  </c15:fullRef>
                </c:ext>
              </c:extLst>
              <c:f>Consolidated!$D$8:$O$8</c:f>
              <c:numCache>
                <c:formatCode>"$"#,##0_);[Red]\("$"#,##0\)</c:formatCode>
                <c:ptCount val="12"/>
                <c:pt idx="0">
                  <c:v>1030000</c:v>
                </c:pt>
                <c:pt idx="1">
                  <c:v>1060900</c:v>
                </c:pt>
                <c:pt idx="2">
                  <c:v>1092727</c:v>
                </c:pt>
                <c:pt idx="3">
                  <c:v>1125508.81</c:v>
                </c:pt>
                <c:pt idx="4">
                  <c:v>1159274.0743</c:v>
                </c:pt>
                <c:pt idx="5">
                  <c:v>1194052.2965290002</c:v>
                </c:pt>
                <c:pt idx="6">
                  <c:v>1229873.86542487</c:v>
                </c:pt>
                <c:pt idx="7">
                  <c:v>1266770.0813876162</c:v>
                </c:pt>
                <c:pt idx="8">
                  <c:v>1304773.1838292447</c:v>
                </c:pt>
                <c:pt idx="9">
                  <c:v>1343916.3793441223</c:v>
                </c:pt>
                <c:pt idx="10">
                  <c:v>1384233.8707244459</c:v>
                </c:pt>
                <c:pt idx="11">
                  <c:v>1425760.8868461794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1B-4C0C-9BD6-E3D862A437F0}"/>
            </c:ext>
          </c:extLst>
        </c:ser>
        <c:ser>
          <c:idx val="3"/>
          <c:order val="3"/>
          <c:tx>
            <c:strRef>
              <c:f>Consolidated!$B$9</c:f>
              <c:strCache>
                <c:ptCount val="1"/>
                <c:pt idx="0">
                  <c:v>Individual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Consolidated!$C$5:$O$5</c15:sqref>
                  </c15:fullRef>
                </c:ext>
              </c:extLst>
              <c:f>Consolidated!$D$5:$O$5</c:f>
              <c:numCache>
                <c:formatCode>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45354</c:v>
                </c:pt>
                <c:pt idx="3">
                  <c:v>45385</c:v>
                </c:pt>
                <c:pt idx="4">
                  <c:v>45416</c:v>
                </c:pt>
                <c:pt idx="5">
                  <c:v>45447</c:v>
                </c:pt>
                <c:pt idx="6">
                  <c:v>45478</c:v>
                </c:pt>
                <c:pt idx="7">
                  <c:v>45509</c:v>
                </c:pt>
                <c:pt idx="8">
                  <c:v>45540</c:v>
                </c:pt>
                <c:pt idx="9">
                  <c:v>45571</c:v>
                </c:pt>
                <c:pt idx="10">
                  <c:v>45602</c:v>
                </c:pt>
                <c:pt idx="11">
                  <c:v>45633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Consolidated!$C$9:$O$9</c15:sqref>
                  </c15:fullRef>
                </c:ext>
              </c:extLst>
              <c:f>Consolidated!$D$9:$O$9</c:f>
              <c:numCache>
                <c:formatCode>"$"#,##0_);[Red]\("$"#,##0\)</c:formatCode>
                <c:ptCount val="12"/>
                <c:pt idx="0">
                  <c:v>51500</c:v>
                </c:pt>
                <c:pt idx="1">
                  <c:v>53045</c:v>
                </c:pt>
                <c:pt idx="2">
                  <c:v>54636.35</c:v>
                </c:pt>
                <c:pt idx="3">
                  <c:v>56275.440500000004</c:v>
                </c:pt>
                <c:pt idx="4">
                  <c:v>57963.703715000003</c:v>
                </c:pt>
                <c:pt idx="5">
                  <c:v>59702.614826450001</c:v>
                </c:pt>
                <c:pt idx="6">
                  <c:v>61493.693271243501</c:v>
                </c:pt>
                <c:pt idx="7">
                  <c:v>63338.504069380811</c:v>
                </c:pt>
                <c:pt idx="8">
                  <c:v>65238.659191462233</c:v>
                </c:pt>
                <c:pt idx="9">
                  <c:v>67195.818967206113</c:v>
                </c:pt>
                <c:pt idx="10">
                  <c:v>69211.693536222301</c:v>
                </c:pt>
                <c:pt idx="11">
                  <c:v>71288.04434230896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1B-4C0C-9BD6-E3D862A437F0}"/>
            </c:ext>
          </c:extLst>
        </c:ser>
        <c:ser>
          <c:idx val="4"/>
          <c:order val="4"/>
          <c:tx>
            <c:strRef>
              <c:f>Consolidated!$B$10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Consolidated!$C$5:$O$5</c15:sqref>
                  </c15:fullRef>
                </c:ext>
              </c:extLst>
              <c:f>Consolidated!$D$5:$O$5</c:f>
              <c:numCache>
                <c:formatCode>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45354</c:v>
                </c:pt>
                <c:pt idx="3">
                  <c:v>45385</c:v>
                </c:pt>
                <c:pt idx="4">
                  <c:v>45416</c:v>
                </c:pt>
                <c:pt idx="5">
                  <c:v>45447</c:v>
                </c:pt>
                <c:pt idx="6">
                  <c:v>45478</c:v>
                </c:pt>
                <c:pt idx="7">
                  <c:v>45509</c:v>
                </c:pt>
                <c:pt idx="8">
                  <c:v>45540</c:v>
                </c:pt>
                <c:pt idx="9">
                  <c:v>45571</c:v>
                </c:pt>
                <c:pt idx="10">
                  <c:v>45602</c:v>
                </c:pt>
                <c:pt idx="11">
                  <c:v>45633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Consolidated!$C$10:$O$10</c15:sqref>
                  </c15:fullRef>
                </c:ext>
              </c:extLst>
              <c:f>Consolidated!$D$10:$O$10</c:f>
              <c:numCache>
                <c:formatCode>"$"#,##0_);[Red]\("$"#,##0\)</c:formatCode>
                <c:ptCount val="12"/>
                <c:pt idx="0">
                  <c:v>51500</c:v>
                </c:pt>
                <c:pt idx="1">
                  <c:v>53045</c:v>
                </c:pt>
                <c:pt idx="2">
                  <c:v>54636.35</c:v>
                </c:pt>
                <c:pt idx="3">
                  <c:v>56275.440500000004</c:v>
                </c:pt>
                <c:pt idx="4">
                  <c:v>57963.703715000003</c:v>
                </c:pt>
                <c:pt idx="5">
                  <c:v>59702.614826450001</c:v>
                </c:pt>
                <c:pt idx="6">
                  <c:v>61493.693271243501</c:v>
                </c:pt>
                <c:pt idx="7">
                  <c:v>63338.504069380811</c:v>
                </c:pt>
                <c:pt idx="8">
                  <c:v>65238.659191462233</c:v>
                </c:pt>
                <c:pt idx="9">
                  <c:v>67195.818967206113</c:v>
                </c:pt>
                <c:pt idx="10">
                  <c:v>69211.693536222301</c:v>
                </c:pt>
                <c:pt idx="11">
                  <c:v>71288.04434230896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1B-4C0C-9BD6-E3D862A43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434051424"/>
        <c:axId val="434063232"/>
      </c:barChart>
      <c:dateAx>
        <c:axId val="43405142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4063232"/>
        <c:crosses val="autoZero"/>
        <c:auto val="1"/>
        <c:lblOffset val="100"/>
        <c:baseTimeUnit val="months"/>
      </c:dateAx>
      <c:valAx>
        <c:axId val="434063232"/>
        <c:scaling>
          <c:orientation val="minMax"/>
          <c:max val="7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4051424"/>
        <c:crosses val="autoZero"/>
        <c:crossBetween val="between"/>
        <c:majorUnit val="25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Cost Evolution 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by Type - % of Total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943754583038895E-2"/>
          <c:y val="0.12806736530829291"/>
          <c:w val="0.94977519166917301"/>
          <c:h val="0.6666331612668932"/>
        </c:manualLayout>
      </c:layout>
      <c:areaChart>
        <c:grouping val="stacked"/>
        <c:varyColors val="0"/>
        <c:ser>
          <c:idx val="0"/>
          <c:order val="0"/>
          <c:tx>
            <c:strRef>
              <c:f>Graphs!$B$96</c:f>
              <c:strCache>
                <c:ptCount val="1"/>
                <c:pt idx="0">
                  <c:v>Payroll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2.361419850302449E-2"/>
                  <c:y val="-8.1481474352743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BD-4DEE-8A1F-D3F3CA5DC3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Graphs!$C$95:$O$95</c:f>
              <c:strCache>
                <c:ptCount val="13"/>
                <c:pt idx="0">
                  <c:v>Jan-24</c:v>
                </c:pt>
                <c:pt idx="1">
                  <c:v>Feb-24</c:v>
                </c:pt>
                <c:pt idx="2">
                  <c:v>Mar-24</c:v>
                </c:pt>
                <c:pt idx="3">
                  <c:v>Apr-24</c:v>
                </c:pt>
                <c:pt idx="4">
                  <c:v>May-24</c:v>
                </c:pt>
                <c:pt idx="5">
                  <c:v>Jun-24</c:v>
                </c:pt>
                <c:pt idx="6">
                  <c:v>Jul-24</c:v>
                </c:pt>
                <c:pt idx="7">
                  <c:v>Aug-24</c:v>
                </c:pt>
                <c:pt idx="8">
                  <c:v>Sep-24</c:v>
                </c:pt>
                <c:pt idx="9">
                  <c:v>Oct-24</c:v>
                </c:pt>
                <c:pt idx="10">
                  <c:v>Nov-24</c:v>
                </c:pt>
                <c:pt idx="11">
                  <c:v>Dec-24</c:v>
                </c:pt>
                <c:pt idx="12">
                  <c:v>Total</c:v>
                </c:pt>
              </c:strCache>
            </c:strRef>
          </c:cat>
          <c:val>
            <c:numRef>
              <c:f>Graphs!$C$96:$O$96</c:f>
              <c:numCache>
                <c:formatCode>0%</c:formatCode>
                <c:ptCount val="13"/>
                <c:pt idx="0">
                  <c:v>0.39053273972975538</c:v>
                </c:pt>
                <c:pt idx="1">
                  <c:v>0.47849389942116988</c:v>
                </c:pt>
                <c:pt idx="2">
                  <c:v>0.49351017861764662</c:v>
                </c:pt>
                <c:pt idx="3">
                  <c:v>0.48063471779576916</c:v>
                </c:pt>
                <c:pt idx="4">
                  <c:v>0.48886012771432075</c:v>
                </c:pt>
                <c:pt idx="5">
                  <c:v>0.48350048565449522</c:v>
                </c:pt>
                <c:pt idx="6">
                  <c:v>0.49144700371567512</c:v>
                </c:pt>
                <c:pt idx="7">
                  <c:v>0.48609485009172354</c:v>
                </c:pt>
                <c:pt idx="8">
                  <c:v>0.50098896421483252</c:v>
                </c:pt>
                <c:pt idx="9">
                  <c:v>0.48193177841114304</c:v>
                </c:pt>
                <c:pt idx="10">
                  <c:v>0.49752539600317924</c:v>
                </c:pt>
                <c:pt idx="11">
                  <c:v>0.49218300309203411</c:v>
                </c:pt>
                <c:pt idx="12">
                  <c:v>0.46705819547967964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E-4687-A150-B71735834583}"/>
            </c:ext>
          </c:extLst>
        </c:ser>
        <c:ser>
          <c:idx val="1"/>
          <c:order val="1"/>
          <c:tx>
            <c:strRef>
              <c:f>Graphs!$B$97</c:f>
              <c:strCache>
                <c:ptCount val="1"/>
                <c:pt idx="0">
                  <c:v>Benefits &amp; Perks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2.0240741574021007E-2"/>
                  <c:y val="-2.0370368588185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0E-4DD8-9CD2-F913D1A53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Graphs!$C$95:$O$95</c:f>
              <c:strCache>
                <c:ptCount val="13"/>
                <c:pt idx="0">
                  <c:v>Jan-24</c:v>
                </c:pt>
                <c:pt idx="1">
                  <c:v>Feb-24</c:v>
                </c:pt>
                <c:pt idx="2">
                  <c:v>Mar-24</c:v>
                </c:pt>
                <c:pt idx="3">
                  <c:v>Apr-24</c:v>
                </c:pt>
                <c:pt idx="4">
                  <c:v>May-24</c:v>
                </c:pt>
                <c:pt idx="5">
                  <c:v>Jun-24</c:v>
                </c:pt>
                <c:pt idx="6">
                  <c:v>Jul-24</c:v>
                </c:pt>
                <c:pt idx="7">
                  <c:v>Aug-24</c:v>
                </c:pt>
                <c:pt idx="8">
                  <c:v>Sep-24</c:v>
                </c:pt>
                <c:pt idx="9">
                  <c:v>Oct-24</c:v>
                </c:pt>
                <c:pt idx="10">
                  <c:v>Nov-24</c:v>
                </c:pt>
                <c:pt idx="11">
                  <c:v>Dec-24</c:v>
                </c:pt>
                <c:pt idx="12">
                  <c:v>Total</c:v>
                </c:pt>
              </c:strCache>
            </c:strRef>
          </c:cat>
          <c:val>
            <c:numRef>
              <c:f>Graphs!$C$97:$O$97</c:f>
              <c:numCache>
                <c:formatCode>0%</c:formatCode>
                <c:ptCount val="13"/>
                <c:pt idx="0">
                  <c:v>0.46352747255376847</c:v>
                </c:pt>
                <c:pt idx="1">
                  <c:v>4.8853377873144005E-2</c:v>
                </c:pt>
                <c:pt idx="2">
                  <c:v>3.3497184768213152E-2</c:v>
                </c:pt>
                <c:pt idx="3">
                  <c:v>4.8926362701189254E-2</c:v>
                </c:pt>
                <c:pt idx="4">
                  <c:v>4.1436654904946482E-2</c:v>
                </c:pt>
                <c:pt idx="5">
                  <c:v>4.8997211033413639E-2</c:v>
                </c:pt>
                <c:pt idx="6">
                  <c:v>4.1580927476948588E-2</c:v>
                </c:pt>
                <c:pt idx="7">
                  <c:v>4.9070766525569492E-2</c:v>
                </c:pt>
                <c:pt idx="8">
                  <c:v>3.4118313993788944E-2</c:v>
                </c:pt>
                <c:pt idx="9">
                  <c:v>5.6224970748126567E-2</c:v>
                </c:pt>
                <c:pt idx="10">
                  <c:v>4.1858151318867963E-2</c:v>
                </c:pt>
                <c:pt idx="11">
                  <c:v>4.9194227108973317E-2</c:v>
                </c:pt>
                <c:pt idx="12">
                  <c:v>0.13700774362266502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7-4F8D-858F-459292AE50A0}"/>
            </c:ext>
          </c:extLst>
        </c:ser>
        <c:ser>
          <c:idx val="2"/>
          <c:order val="2"/>
          <c:tx>
            <c:strRef>
              <c:f>Graphs!$B$98</c:f>
              <c:strCache>
                <c:ptCount val="1"/>
                <c:pt idx="0">
                  <c:v>Marketing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1.2819136330213301E-2"/>
                  <c:y val="2.4444442305823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0E-4DD8-9CD2-F913D1A53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Graphs!$C$95:$O$95</c:f>
              <c:strCache>
                <c:ptCount val="13"/>
                <c:pt idx="0">
                  <c:v>Jan-24</c:v>
                </c:pt>
                <c:pt idx="1">
                  <c:v>Feb-24</c:v>
                </c:pt>
                <c:pt idx="2">
                  <c:v>Mar-24</c:v>
                </c:pt>
                <c:pt idx="3">
                  <c:v>Apr-24</c:v>
                </c:pt>
                <c:pt idx="4">
                  <c:v>May-24</c:v>
                </c:pt>
                <c:pt idx="5">
                  <c:v>Jun-24</c:v>
                </c:pt>
                <c:pt idx="6">
                  <c:v>Jul-24</c:v>
                </c:pt>
                <c:pt idx="7">
                  <c:v>Aug-24</c:v>
                </c:pt>
                <c:pt idx="8">
                  <c:v>Sep-24</c:v>
                </c:pt>
                <c:pt idx="9">
                  <c:v>Oct-24</c:v>
                </c:pt>
                <c:pt idx="10">
                  <c:v>Nov-24</c:v>
                </c:pt>
                <c:pt idx="11">
                  <c:v>Dec-24</c:v>
                </c:pt>
                <c:pt idx="12">
                  <c:v>Total</c:v>
                </c:pt>
              </c:strCache>
            </c:strRef>
          </c:cat>
          <c:val>
            <c:numRef>
              <c:f>Graphs!$C$98:$O$98</c:f>
              <c:numCache>
                <c:formatCode>0%</c:formatCode>
                <c:ptCount val="13"/>
                <c:pt idx="0">
                  <c:v>9.8578015851246398E-2</c:v>
                </c:pt>
                <c:pt idx="1">
                  <c:v>0.30935161611594014</c:v>
                </c:pt>
                <c:pt idx="2">
                  <c:v>0.31877118127129445</c:v>
                </c:pt>
                <c:pt idx="3">
                  <c:v>0.30722900992994301</c:v>
                </c:pt>
                <c:pt idx="4">
                  <c:v>0.31088339517657471</c:v>
                </c:pt>
                <c:pt idx="5">
                  <c:v>0.30431247491061081</c:v>
                </c:pt>
                <c:pt idx="6">
                  <c:v>0.30805110448107853</c:v>
                </c:pt>
                <c:pt idx="7">
                  <c:v>0.30158929147227742</c:v>
                </c:pt>
                <c:pt idx="8">
                  <c:v>0.31050793174647923</c:v>
                </c:pt>
                <c:pt idx="9">
                  <c:v>0.29447732152796585</c:v>
                </c:pt>
                <c:pt idx="10">
                  <c:v>0.30185706693434705</c:v>
                </c:pt>
                <c:pt idx="11">
                  <c:v>0.29563132339424147</c:v>
                </c:pt>
                <c:pt idx="12">
                  <c:v>0.26004827912919209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97-4F8D-858F-459292AE50A0}"/>
            </c:ext>
          </c:extLst>
        </c:ser>
        <c:ser>
          <c:idx val="3"/>
          <c:order val="3"/>
          <c:tx>
            <c:strRef>
              <c:f>Graphs!$B$99</c:f>
              <c:strCache>
                <c:ptCount val="1"/>
                <c:pt idx="0">
                  <c:v>Hardware &amp; Software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3.10358037468322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E-4DD8-9CD2-F913D1A53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Graphs!$C$95:$O$95</c:f>
              <c:strCache>
                <c:ptCount val="13"/>
                <c:pt idx="0">
                  <c:v>Jan-24</c:v>
                </c:pt>
                <c:pt idx="1">
                  <c:v>Feb-24</c:v>
                </c:pt>
                <c:pt idx="2">
                  <c:v>Mar-24</c:v>
                </c:pt>
                <c:pt idx="3">
                  <c:v>Apr-24</c:v>
                </c:pt>
                <c:pt idx="4">
                  <c:v>May-24</c:v>
                </c:pt>
                <c:pt idx="5">
                  <c:v>Jun-24</c:v>
                </c:pt>
                <c:pt idx="6">
                  <c:v>Jul-24</c:v>
                </c:pt>
                <c:pt idx="7">
                  <c:v>Aug-24</c:v>
                </c:pt>
                <c:pt idx="8">
                  <c:v>Sep-24</c:v>
                </c:pt>
                <c:pt idx="9">
                  <c:v>Oct-24</c:v>
                </c:pt>
                <c:pt idx="10">
                  <c:v>Nov-24</c:v>
                </c:pt>
                <c:pt idx="11">
                  <c:v>Dec-24</c:v>
                </c:pt>
                <c:pt idx="12">
                  <c:v>Total</c:v>
                </c:pt>
              </c:strCache>
            </c:strRef>
          </c:cat>
          <c:val>
            <c:numRef>
              <c:f>Graphs!$C$99:$O$99</c:f>
              <c:numCache>
                <c:formatCode>0%</c:formatCode>
                <c:ptCount val="13"/>
                <c:pt idx="0">
                  <c:v>2.232436088897817E-2</c:v>
                </c:pt>
                <c:pt idx="1">
                  <c:v>7.0475166501528699E-2</c:v>
                </c:pt>
                <c:pt idx="2">
                  <c:v>7.2621091682171027E-2</c:v>
                </c:pt>
                <c:pt idx="3">
                  <c:v>7.0406930260339298E-2</c:v>
                </c:pt>
                <c:pt idx="4">
                  <c:v>7.1454530414399836E-2</c:v>
                </c:pt>
                <c:pt idx="5">
                  <c:v>7.0355631184241443E-2</c:v>
                </c:pt>
                <c:pt idx="6">
                  <c:v>7.1428204080690894E-2</c:v>
                </c:pt>
                <c:pt idx="7">
                  <c:v>7.0337598034648272E-2</c:v>
                </c:pt>
                <c:pt idx="8">
                  <c:v>7.2417631220044354E-2</c:v>
                </c:pt>
                <c:pt idx="9">
                  <c:v>6.9276054921206864E-2</c:v>
                </c:pt>
                <c:pt idx="10">
                  <c:v>7.1216179071308144E-2</c:v>
                </c:pt>
                <c:pt idx="11">
                  <c:v>7.0147007716849785E-2</c:v>
                </c:pt>
                <c:pt idx="12">
                  <c:v>6.0224488810158572E-2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97-4F8D-858F-459292AE50A0}"/>
            </c:ext>
          </c:extLst>
        </c:ser>
        <c:ser>
          <c:idx val="4"/>
          <c:order val="4"/>
          <c:tx>
            <c:strRef>
              <c:f>Graphs!$B$100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1.41685191018147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7-4F8D-858F-459292AE5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Graphs!$C$95:$O$95</c:f>
              <c:strCache>
                <c:ptCount val="13"/>
                <c:pt idx="0">
                  <c:v>Jan-24</c:v>
                </c:pt>
                <c:pt idx="1">
                  <c:v>Feb-24</c:v>
                </c:pt>
                <c:pt idx="2">
                  <c:v>Mar-24</c:v>
                </c:pt>
                <c:pt idx="3">
                  <c:v>Apr-24</c:v>
                </c:pt>
                <c:pt idx="4">
                  <c:v>May-24</c:v>
                </c:pt>
                <c:pt idx="5">
                  <c:v>Jun-24</c:v>
                </c:pt>
                <c:pt idx="6">
                  <c:v>Jul-24</c:v>
                </c:pt>
                <c:pt idx="7">
                  <c:v>Aug-24</c:v>
                </c:pt>
                <c:pt idx="8">
                  <c:v>Sep-24</c:v>
                </c:pt>
                <c:pt idx="9">
                  <c:v>Oct-24</c:v>
                </c:pt>
                <c:pt idx="10">
                  <c:v>Nov-24</c:v>
                </c:pt>
                <c:pt idx="11">
                  <c:v>Dec-24</c:v>
                </c:pt>
                <c:pt idx="12">
                  <c:v>Total</c:v>
                </c:pt>
              </c:strCache>
            </c:strRef>
          </c:cat>
          <c:val>
            <c:numRef>
              <c:f>Graphs!$C$100:$O$100</c:f>
              <c:numCache>
                <c:formatCode>0%</c:formatCode>
                <c:ptCount val="13"/>
                <c:pt idx="0">
                  <c:v>2.5037410976251472E-2</c:v>
                </c:pt>
                <c:pt idx="1">
                  <c:v>9.2825940088217096E-2</c:v>
                </c:pt>
                <c:pt idx="2">
                  <c:v>8.160036366067476E-2</c:v>
                </c:pt>
                <c:pt idx="3">
                  <c:v>9.2802979312759382E-2</c:v>
                </c:pt>
                <c:pt idx="4">
                  <c:v>8.7365291789758159E-2</c:v>
                </c:pt>
                <c:pt idx="5">
                  <c:v>9.2834197217238887E-2</c:v>
                </c:pt>
                <c:pt idx="6">
                  <c:v>8.7492760245606746E-2</c:v>
                </c:pt>
                <c:pt idx="7">
                  <c:v>9.2907493875781316E-2</c:v>
                </c:pt>
                <c:pt idx="8">
                  <c:v>8.1967158824854891E-2</c:v>
                </c:pt>
                <c:pt idx="9">
                  <c:v>9.8089874391557696E-2</c:v>
                </c:pt>
                <c:pt idx="10">
                  <c:v>8.7543206672297535E-2</c:v>
                </c:pt>
                <c:pt idx="11">
                  <c:v>9.2844438687901321E-2</c:v>
                </c:pt>
                <c:pt idx="12">
                  <c:v>7.5661292958304649E-2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97-4F8D-858F-459292AE5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051424"/>
        <c:axId val="434063232"/>
        <c:extLst/>
      </c:areaChart>
      <c:catAx>
        <c:axId val="434051424"/>
        <c:scaling>
          <c:orientation val="minMax"/>
        </c:scaling>
        <c:delete val="0"/>
        <c:axPos val="b"/>
        <c:numFmt formatCode="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4063232"/>
        <c:crosses val="autoZero"/>
        <c:auto val="1"/>
        <c:lblAlgn val="ctr"/>
        <c:lblOffset val="100"/>
        <c:noMultiLvlLbl val="0"/>
      </c:catAx>
      <c:valAx>
        <c:axId val="434063232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4051424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Cost Evolution 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by Department - % of Total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943754583038895E-2"/>
          <c:y val="0.12806736530829291"/>
          <c:w val="0.94977519166917301"/>
          <c:h val="0.6666331612668932"/>
        </c:manualLayout>
      </c:layout>
      <c:areaChart>
        <c:grouping val="stacked"/>
        <c:varyColors val="0"/>
        <c:ser>
          <c:idx val="0"/>
          <c:order val="0"/>
          <c:tx>
            <c:strRef>
              <c:f>Graphs!$B$114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Graphs!$C$113:$O$113</c:f>
              <c:strCache>
                <c:ptCount val="13"/>
                <c:pt idx="0">
                  <c:v>Jan-24</c:v>
                </c:pt>
                <c:pt idx="1">
                  <c:v>Feb-24</c:v>
                </c:pt>
                <c:pt idx="2">
                  <c:v>Mar-24</c:v>
                </c:pt>
                <c:pt idx="3">
                  <c:v>Apr-24</c:v>
                </c:pt>
                <c:pt idx="4">
                  <c:v>May-24</c:v>
                </c:pt>
                <c:pt idx="5">
                  <c:v>Jun-24</c:v>
                </c:pt>
                <c:pt idx="6">
                  <c:v>Jul-24</c:v>
                </c:pt>
                <c:pt idx="7">
                  <c:v>Aug-24</c:v>
                </c:pt>
                <c:pt idx="8">
                  <c:v>Sep-24</c:v>
                </c:pt>
                <c:pt idx="9">
                  <c:v>Oct-24</c:v>
                </c:pt>
                <c:pt idx="10">
                  <c:v>Nov-24</c:v>
                </c:pt>
                <c:pt idx="11">
                  <c:v>Dec-24</c:v>
                </c:pt>
                <c:pt idx="12">
                  <c:v>Total</c:v>
                </c:pt>
              </c:strCache>
            </c:strRef>
          </c:cat>
          <c:val>
            <c:numRef>
              <c:f>Graphs!$C$114:$O$114</c:f>
              <c:numCache>
                <c:formatCode>0%</c:formatCode>
                <c:ptCount val="13"/>
                <c:pt idx="0">
                  <c:v>0.18225380814458159</c:v>
                </c:pt>
                <c:pt idx="1">
                  <c:v>0.15864883438728858</c:v>
                </c:pt>
                <c:pt idx="2">
                  <c:v>0.14708228119617825</c:v>
                </c:pt>
                <c:pt idx="3">
                  <c:v>0.16350982510326292</c:v>
                </c:pt>
                <c:pt idx="4">
                  <c:v>0.14949077601400224</c:v>
                </c:pt>
                <c:pt idx="5">
                  <c:v>0.16790559552053913</c:v>
                </c:pt>
                <c:pt idx="6">
                  <c:v>0.1541789380565981</c:v>
                </c:pt>
                <c:pt idx="7">
                  <c:v>0.17235553807034593</c:v>
                </c:pt>
                <c:pt idx="8">
                  <c:v>0.161568129797758</c:v>
                </c:pt>
                <c:pt idx="9">
                  <c:v>0.17416300513665073</c:v>
                </c:pt>
                <c:pt idx="10">
                  <c:v>0.16311785955713839</c:v>
                </c:pt>
                <c:pt idx="11">
                  <c:v>0.18080410419251178</c:v>
                </c:pt>
                <c:pt idx="12">
                  <c:v>0.16737612324100543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4-4828-8E82-7EA1E5D48F27}"/>
            </c:ext>
          </c:extLst>
        </c:ser>
        <c:ser>
          <c:idx val="1"/>
          <c:order val="1"/>
          <c:tx>
            <c:strRef>
              <c:f>Graphs!$B$115</c:f>
              <c:strCache>
                <c:ptCount val="1"/>
                <c:pt idx="0">
                  <c:v>Marketing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Graphs!$C$113:$O$113</c:f>
              <c:strCache>
                <c:ptCount val="13"/>
                <c:pt idx="0">
                  <c:v>Jan-24</c:v>
                </c:pt>
                <c:pt idx="1">
                  <c:v>Feb-24</c:v>
                </c:pt>
                <c:pt idx="2">
                  <c:v>Mar-24</c:v>
                </c:pt>
                <c:pt idx="3">
                  <c:v>Apr-24</c:v>
                </c:pt>
                <c:pt idx="4">
                  <c:v>May-24</c:v>
                </c:pt>
                <c:pt idx="5">
                  <c:v>Jun-24</c:v>
                </c:pt>
                <c:pt idx="6">
                  <c:v>Jul-24</c:v>
                </c:pt>
                <c:pt idx="7">
                  <c:v>Aug-24</c:v>
                </c:pt>
                <c:pt idx="8">
                  <c:v>Sep-24</c:v>
                </c:pt>
                <c:pt idx="9">
                  <c:v>Oct-24</c:v>
                </c:pt>
                <c:pt idx="10">
                  <c:v>Nov-24</c:v>
                </c:pt>
                <c:pt idx="11">
                  <c:v>Dec-24</c:v>
                </c:pt>
                <c:pt idx="12">
                  <c:v>Total</c:v>
                </c:pt>
              </c:strCache>
            </c:strRef>
          </c:cat>
          <c:val>
            <c:numRef>
              <c:f>Graphs!$C$115:$O$115</c:f>
              <c:numCache>
                <c:formatCode>0%</c:formatCode>
                <c:ptCount val="13"/>
                <c:pt idx="0">
                  <c:v>0.55956103272551405</c:v>
                </c:pt>
                <c:pt idx="1">
                  <c:v>0.57229344411608396</c:v>
                </c:pt>
                <c:pt idx="2">
                  <c:v>0.58971942511633568</c:v>
                </c:pt>
                <c:pt idx="3">
                  <c:v>0.5683666710158225</c:v>
                </c:pt>
                <c:pt idx="4">
                  <c:v>0.57512720049092336</c:v>
                </c:pt>
                <c:pt idx="5">
                  <c:v>0.5629711476561734</c:v>
                </c:pt>
                <c:pt idx="6">
                  <c:v>0.5698875272116477</c:v>
                </c:pt>
                <c:pt idx="7">
                  <c:v>0.55793332031765519</c:v>
                </c:pt>
                <c:pt idx="8">
                  <c:v>0.57443260169668775</c:v>
                </c:pt>
                <c:pt idx="9">
                  <c:v>0.5447763379007452</c:v>
                </c:pt>
                <c:pt idx="10">
                  <c:v>0.55842869882371149</c:v>
                </c:pt>
                <c:pt idx="11">
                  <c:v>0.54691121507015927</c:v>
                </c:pt>
                <c:pt idx="12">
                  <c:v>0.56400302869820318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4-4828-8E82-7EA1E5D48F27}"/>
            </c:ext>
          </c:extLst>
        </c:ser>
        <c:ser>
          <c:idx val="2"/>
          <c:order val="2"/>
          <c:tx>
            <c:strRef>
              <c:f>Graphs!$B$116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Graphs!$C$113:$O$113</c:f>
              <c:strCache>
                <c:ptCount val="13"/>
                <c:pt idx="0">
                  <c:v>Jan-24</c:v>
                </c:pt>
                <c:pt idx="1">
                  <c:v>Feb-24</c:v>
                </c:pt>
                <c:pt idx="2">
                  <c:v>Mar-24</c:v>
                </c:pt>
                <c:pt idx="3">
                  <c:v>Apr-24</c:v>
                </c:pt>
                <c:pt idx="4">
                  <c:v>May-24</c:v>
                </c:pt>
                <c:pt idx="5">
                  <c:v>Jun-24</c:v>
                </c:pt>
                <c:pt idx="6">
                  <c:v>Jul-24</c:v>
                </c:pt>
                <c:pt idx="7">
                  <c:v>Aug-24</c:v>
                </c:pt>
                <c:pt idx="8">
                  <c:v>Sep-24</c:v>
                </c:pt>
                <c:pt idx="9">
                  <c:v>Oct-24</c:v>
                </c:pt>
                <c:pt idx="10">
                  <c:v>Nov-24</c:v>
                </c:pt>
                <c:pt idx="11">
                  <c:v>Dec-24</c:v>
                </c:pt>
                <c:pt idx="12">
                  <c:v>Total</c:v>
                </c:pt>
              </c:strCache>
            </c:strRef>
          </c:cat>
          <c:val>
            <c:numRef>
              <c:f>Graphs!$C$116:$O$116</c:f>
              <c:numCache>
                <c:formatCode>0%</c:formatCode>
                <c:ptCount val="13"/>
                <c:pt idx="0">
                  <c:v>0.12301313839915397</c:v>
                </c:pt>
                <c:pt idx="1">
                  <c:v>0.14187127396882174</c:v>
                </c:pt>
                <c:pt idx="2">
                  <c:v>0.14619116641225277</c:v>
                </c:pt>
                <c:pt idx="3">
                  <c:v>0.14131315562755173</c:v>
                </c:pt>
                <c:pt idx="4">
                  <c:v>0.15366424216160007</c:v>
                </c:pt>
                <c:pt idx="5">
                  <c:v>0.14277891483191194</c:v>
                </c:pt>
                <c:pt idx="6">
                  <c:v>0.15457778550402751</c:v>
                </c:pt>
                <c:pt idx="7">
                  <c:v>0.14376620379542854</c:v>
                </c:pt>
                <c:pt idx="8">
                  <c:v>0.1480176778745633</c:v>
                </c:pt>
                <c:pt idx="9">
                  <c:v>0.15088117063485562</c:v>
                </c:pt>
                <c:pt idx="10">
                  <c:v>0.15807410300403688</c:v>
                </c:pt>
                <c:pt idx="11">
                  <c:v>0.1473942931221558</c:v>
                </c:pt>
                <c:pt idx="12">
                  <c:v>0.14255674328053058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94-4828-8E82-7EA1E5D48F27}"/>
            </c:ext>
          </c:extLst>
        </c:ser>
        <c:ser>
          <c:idx val="3"/>
          <c:order val="3"/>
          <c:tx>
            <c:strRef>
              <c:f>Graphs!$B$117</c:f>
              <c:strCache>
                <c:ptCount val="1"/>
                <c:pt idx="0">
                  <c:v>HR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Graphs!$C$113:$O$113</c:f>
              <c:strCache>
                <c:ptCount val="13"/>
                <c:pt idx="0">
                  <c:v>Jan-24</c:v>
                </c:pt>
                <c:pt idx="1">
                  <c:v>Feb-24</c:v>
                </c:pt>
                <c:pt idx="2">
                  <c:v>Mar-24</c:v>
                </c:pt>
                <c:pt idx="3">
                  <c:v>Apr-24</c:v>
                </c:pt>
                <c:pt idx="4">
                  <c:v>May-24</c:v>
                </c:pt>
                <c:pt idx="5">
                  <c:v>Jun-24</c:v>
                </c:pt>
                <c:pt idx="6">
                  <c:v>Jul-24</c:v>
                </c:pt>
                <c:pt idx="7">
                  <c:v>Aug-24</c:v>
                </c:pt>
                <c:pt idx="8">
                  <c:v>Sep-24</c:v>
                </c:pt>
                <c:pt idx="9">
                  <c:v>Oct-24</c:v>
                </c:pt>
                <c:pt idx="10">
                  <c:v>Nov-24</c:v>
                </c:pt>
                <c:pt idx="11">
                  <c:v>Dec-24</c:v>
                </c:pt>
                <c:pt idx="12">
                  <c:v>Total</c:v>
                </c:pt>
              </c:strCache>
            </c:strRef>
          </c:cat>
          <c:val>
            <c:numRef>
              <c:f>Graphs!$C$117:$O$117</c:f>
              <c:numCache>
                <c:formatCode>0%</c:formatCode>
                <c:ptCount val="13"/>
                <c:pt idx="0">
                  <c:v>0.13517202073075035</c:v>
                </c:pt>
                <c:pt idx="1">
                  <c:v>0.12718644752780564</c:v>
                </c:pt>
                <c:pt idx="2">
                  <c:v>0.11700712727523326</c:v>
                </c:pt>
                <c:pt idx="3">
                  <c:v>0.12681034825336263</c:v>
                </c:pt>
                <c:pt idx="4">
                  <c:v>0.12171778133347429</c:v>
                </c:pt>
                <c:pt idx="5">
                  <c:v>0.12634434199137543</c:v>
                </c:pt>
                <c:pt idx="6">
                  <c:v>0.1213557492277267</c:v>
                </c:pt>
                <c:pt idx="7">
                  <c:v>0.1259449378165704</c:v>
                </c:pt>
                <c:pt idx="8">
                  <c:v>0.11598159063099094</c:v>
                </c:pt>
                <c:pt idx="9">
                  <c:v>0.13017948632774859</c:v>
                </c:pt>
                <c:pt idx="10">
                  <c:v>0.12037933861511317</c:v>
                </c:pt>
                <c:pt idx="11">
                  <c:v>0.12489038761517322</c:v>
                </c:pt>
                <c:pt idx="12">
                  <c:v>0.12606410478026073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94-4828-8E82-7EA1E5D48F27}"/>
            </c:ext>
          </c:extLst>
        </c:ser>
        <c:ser>
          <c:idx val="4"/>
          <c:order val="4"/>
          <c:tx>
            <c:strRef>
              <c:f>Graphs!$B$118</c:f>
              <c:strCache>
                <c:ptCount val="1"/>
                <c:pt idx="0">
                  <c:v>Central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Graphs!$C$113:$O$113</c:f>
              <c:strCache>
                <c:ptCount val="13"/>
                <c:pt idx="0">
                  <c:v>Jan-24</c:v>
                </c:pt>
                <c:pt idx="1">
                  <c:v>Feb-24</c:v>
                </c:pt>
                <c:pt idx="2">
                  <c:v>Mar-24</c:v>
                </c:pt>
                <c:pt idx="3">
                  <c:v>Apr-24</c:v>
                </c:pt>
                <c:pt idx="4">
                  <c:v>May-24</c:v>
                </c:pt>
                <c:pt idx="5">
                  <c:v>Jun-24</c:v>
                </c:pt>
                <c:pt idx="6">
                  <c:v>Jul-24</c:v>
                </c:pt>
                <c:pt idx="7">
                  <c:v>Aug-24</c:v>
                </c:pt>
                <c:pt idx="8">
                  <c:v>Sep-24</c:v>
                </c:pt>
                <c:pt idx="9">
                  <c:v>Oct-24</c:v>
                </c:pt>
                <c:pt idx="10">
                  <c:v>Nov-24</c:v>
                </c:pt>
                <c:pt idx="11">
                  <c:v>Dec-24</c:v>
                </c:pt>
                <c:pt idx="12">
                  <c:v>Total</c:v>
                </c:pt>
              </c:strCache>
            </c:strRef>
          </c:cat>
          <c:val>
            <c:numRef>
              <c:f>Graphs!$C$118:$O$118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94-4828-8E82-7EA1E5D48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051424"/>
        <c:axId val="434063232"/>
        <c:extLst>
          <c:ext xmlns:c15="http://schemas.microsoft.com/office/drawing/2012/chart" uri="{02D57815-91ED-43cb-92C2-25804820EDAC}">
            <c15:filteredArea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Graphs!$B$119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cat>
                  <c:strRef>
                    <c:extLst>
                      <c:ext uri="{02D57815-91ED-43cb-92C2-25804820EDAC}">
                        <c15:formulaRef>
                          <c15:sqref>Graphs!$C$113:$O$113</c15:sqref>
                        </c15:formulaRef>
                      </c:ext>
                    </c:extLst>
                    <c:strCache>
                      <c:ptCount val="13"/>
                      <c:pt idx="0">
                        <c:v>Jan-24</c:v>
                      </c:pt>
                      <c:pt idx="1">
                        <c:v>Feb-24</c:v>
                      </c:pt>
                      <c:pt idx="2">
                        <c:v>Mar-24</c:v>
                      </c:pt>
                      <c:pt idx="3">
                        <c:v>Apr-24</c:v>
                      </c:pt>
                      <c:pt idx="4">
                        <c:v>May-24</c:v>
                      </c:pt>
                      <c:pt idx="5">
                        <c:v>Jun-24</c:v>
                      </c:pt>
                      <c:pt idx="6">
                        <c:v>Jul-24</c:v>
                      </c:pt>
                      <c:pt idx="7">
                        <c:v>Aug-24</c:v>
                      </c:pt>
                      <c:pt idx="8">
                        <c:v>Sep-24</c:v>
                      </c:pt>
                      <c:pt idx="9">
                        <c:v>Oct-24</c:v>
                      </c:pt>
                      <c:pt idx="10">
                        <c:v>Nov-24</c:v>
                      </c:pt>
                      <c:pt idx="11">
                        <c:v>Dec-24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Graphs!$C$119:$O$119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1</c:v>
                      </c:pt>
                      <c:pt idx="1">
                        <c:v>0.99999999999999989</c:v>
                      </c:pt>
                      <c:pt idx="2">
                        <c:v>0.99999999999999989</c:v>
                      </c:pt>
                      <c:pt idx="3">
                        <c:v>0.99999999999999978</c:v>
                      </c:pt>
                      <c:pt idx="4">
                        <c:v>1</c:v>
                      </c:pt>
                      <c:pt idx="5">
                        <c:v>0.99999999999999989</c:v>
                      </c:pt>
                      <c:pt idx="6">
                        <c:v>1</c:v>
                      </c:pt>
                      <c:pt idx="7">
                        <c:v>1.0000000000000002</c:v>
                      </c:pt>
                      <c:pt idx="8">
                        <c:v>1</c:v>
                      </c:pt>
                      <c:pt idx="9">
                        <c:v>1.0000000000000002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0.99999999999999989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3594-4828-8E82-7EA1E5D48F27}"/>
                  </c:ext>
                </c:extLst>
              </c15:ser>
            </c15:filteredAreaSeries>
          </c:ext>
        </c:extLst>
      </c:areaChart>
      <c:catAx>
        <c:axId val="434051424"/>
        <c:scaling>
          <c:orientation val="minMax"/>
        </c:scaling>
        <c:delete val="0"/>
        <c:axPos val="b"/>
        <c:numFmt formatCode="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4063232"/>
        <c:crosses val="autoZero"/>
        <c:auto val="1"/>
        <c:lblAlgn val="ctr"/>
        <c:lblOffset val="100"/>
        <c:noMultiLvlLbl val="0"/>
      </c:catAx>
      <c:valAx>
        <c:axId val="434063232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4051424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633853803726752"/>
          <c:y val="0.91208198898024706"/>
          <c:w val="0.1684790984593077"/>
          <c:h val="6.4501758394886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Headcount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by Department 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943754583038895E-2"/>
          <c:y val="0.12806736530829291"/>
          <c:w val="0.94977519166917301"/>
          <c:h val="0.66663316126689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Graphs!$B$122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Graphs!$C$121:$N$121</c:f>
              <c:numCache>
                <c:formatCode>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45354</c:v>
                </c:pt>
                <c:pt idx="3">
                  <c:v>45385</c:v>
                </c:pt>
                <c:pt idx="4">
                  <c:v>45416</c:v>
                </c:pt>
                <c:pt idx="5">
                  <c:v>45447</c:v>
                </c:pt>
                <c:pt idx="6">
                  <c:v>45478</c:v>
                </c:pt>
                <c:pt idx="7">
                  <c:v>45509</c:v>
                </c:pt>
                <c:pt idx="8">
                  <c:v>45540</c:v>
                </c:pt>
                <c:pt idx="9">
                  <c:v>45571</c:v>
                </c:pt>
                <c:pt idx="10">
                  <c:v>45602</c:v>
                </c:pt>
                <c:pt idx="11">
                  <c:v>45633</c:v>
                </c:pt>
              </c:numCache>
            </c:numRef>
          </c:cat>
          <c:val>
            <c:numRef>
              <c:f>Graphs!$C$122:$N$122</c:f>
              <c:numCache>
                <c:formatCode>0</c:formatCode>
                <c:ptCount val="12"/>
                <c:pt idx="0">
                  <c:v>47</c:v>
                </c:pt>
                <c:pt idx="1">
                  <c:v>49</c:v>
                </c:pt>
                <c:pt idx="2">
                  <c:v>49</c:v>
                </c:pt>
                <c:pt idx="3">
                  <c:v>51</c:v>
                </c:pt>
                <c:pt idx="4">
                  <c:v>51</c:v>
                </c:pt>
                <c:pt idx="5">
                  <c:v>53</c:v>
                </c:pt>
                <c:pt idx="6">
                  <c:v>53</c:v>
                </c:pt>
                <c:pt idx="7">
                  <c:v>55</c:v>
                </c:pt>
                <c:pt idx="8">
                  <c:v>55</c:v>
                </c:pt>
                <c:pt idx="9">
                  <c:v>57</c:v>
                </c:pt>
                <c:pt idx="10">
                  <c:v>57</c:v>
                </c:pt>
                <c:pt idx="1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5-4EDB-BBC8-E5A4A44FE2A0}"/>
            </c:ext>
          </c:extLst>
        </c:ser>
        <c:ser>
          <c:idx val="1"/>
          <c:order val="1"/>
          <c:tx>
            <c:strRef>
              <c:f>Graphs!$B$123</c:f>
              <c:strCache>
                <c:ptCount val="1"/>
                <c:pt idx="0">
                  <c:v>Marketing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Graphs!$C$121:$N$121</c:f>
              <c:numCache>
                <c:formatCode>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45354</c:v>
                </c:pt>
                <c:pt idx="3">
                  <c:v>45385</c:v>
                </c:pt>
                <c:pt idx="4">
                  <c:v>45416</c:v>
                </c:pt>
                <c:pt idx="5">
                  <c:v>45447</c:v>
                </c:pt>
                <c:pt idx="6">
                  <c:v>45478</c:v>
                </c:pt>
                <c:pt idx="7">
                  <c:v>45509</c:v>
                </c:pt>
                <c:pt idx="8">
                  <c:v>45540</c:v>
                </c:pt>
                <c:pt idx="9">
                  <c:v>45571</c:v>
                </c:pt>
                <c:pt idx="10">
                  <c:v>45602</c:v>
                </c:pt>
                <c:pt idx="11">
                  <c:v>45633</c:v>
                </c:pt>
              </c:numCache>
            </c:numRef>
          </c:cat>
          <c:val>
            <c:numRef>
              <c:f>Graphs!$C$123:$N$123</c:f>
              <c:numCache>
                <c:formatCode>0</c:formatCode>
                <c:ptCount val="12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5-4EDB-BBC8-E5A4A44FE2A0}"/>
            </c:ext>
          </c:extLst>
        </c:ser>
        <c:ser>
          <c:idx val="2"/>
          <c:order val="2"/>
          <c:tx>
            <c:strRef>
              <c:f>Graphs!$B$125</c:f>
              <c:strCache>
                <c:ptCount val="1"/>
                <c:pt idx="0">
                  <c:v>HR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Graphs!$C$121:$N$121</c:f>
              <c:numCache>
                <c:formatCode>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45354</c:v>
                </c:pt>
                <c:pt idx="3">
                  <c:v>45385</c:v>
                </c:pt>
                <c:pt idx="4">
                  <c:v>45416</c:v>
                </c:pt>
                <c:pt idx="5">
                  <c:v>45447</c:v>
                </c:pt>
                <c:pt idx="6">
                  <c:v>45478</c:v>
                </c:pt>
                <c:pt idx="7">
                  <c:v>45509</c:v>
                </c:pt>
                <c:pt idx="8">
                  <c:v>45540</c:v>
                </c:pt>
                <c:pt idx="9">
                  <c:v>45571</c:v>
                </c:pt>
                <c:pt idx="10">
                  <c:v>45602</c:v>
                </c:pt>
                <c:pt idx="11">
                  <c:v>45633</c:v>
                </c:pt>
              </c:numCache>
            </c:numRef>
          </c:cat>
          <c:val>
            <c:numRef>
              <c:f>Graphs!$C$125:$N$125</c:f>
              <c:numCache>
                <c:formatCode>0</c:formatCode>
                <c:ptCount val="12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5-4EDB-BBC8-E5A4A44FE2A0}"/>
            </c:ext>
          </c:extLst>
        </c:ser>
        <c:ser>
          <c:idx val="3"/>
          <c:order val="3"/>
          <c:tx>
            <c:strRef>
              <c:f>Graphs!$B$124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4460719438725073E-3"/>
                  <c:y val="-3.840440847904408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25-4EDB-BBC8-E5A4A44FE2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Graphs!$C$121:$N$121</c:f>
              <c:numCache>
                <c:formatCode>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45354</c:v>
                </c:pt>
                <c:pt idx="3">
                  <c:v>45385</c:v>
                </c:pt>
                <c:pt idx="4">
                  <c:v>45416</c:v>
                </c:pt>
                <c:pt idx="5">
                  <c:v>45447</c:v>
                </c:pt>
                <c:pt idx="6">
                  <c:v>45478</c:v>
                </c:pt>
                <c:pt idx="7">
                  <c:v>45509</c:v>
                </c:pt>
                <c:pt idx="8">
                  <c:v>45540</c:v>
                </c:pt>
                <c:pt idx="9">
                  <c:v>45571</c:v>
                </c:pt>
                <c:pt idx="10">
                  <c:v>45602</c:v>
                </c:pt>
                <c:pt idx="11">
                  <c:v>45633</c:v>
                </c:pt>
              </c:numCache>
            </c:numRef>
          </c:cat>
          <c:val>
            <c:numRef>
              <c:f>Graphs!$C$124:$N$124</c:f>
              <c:numCache>
                <c:formatCode>0</c:formatCode>
                <c:ptCount val="12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22</c:v>
                </c:pt>
                <c:pt idx="5">
                  <c:v>22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5-4EDB-BBC8-E5A4A44FE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434051424"/>
        <c:axId val="434063232"/>
      </c:barChart>
      <c:dateAx>
        <c:axId val="43405142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4063232"/>
        <c:crosses val="autoZero"/>
        <c:auto val="1"/>
        <c:lblOffset val="100"/>
        <c:baseTimeUnit val="months"/>
      </c:dateAx>
      <c:valAx>
        <c:axId val="434063232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405142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268455133633787"/>
          <c:y val="0.90137772042229769"/>
          <c:w val="0.30229319101984709"/>
          <c:h val="6.56789058649581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Payroll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by Department 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943754583038895E-2"/>
          <c:y val="0.12806736530829291"/>
          <c:w val="0.94977519166917301"/>
          <c:h val="0.66663316126689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Graphs!$B$128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Graphs!$C$127:$N$127</c:f>
              <c:numCache>
                <c:formatCode>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45354</c:v>
                </c:pt>
                <c:pt idx="3">
                  <c:v>45385</c:v>
                </c:pt>
                <c:pt idx="4">
                  <c:v>45416</c:v>
                </c:pt>
                <c:pt idx="5">
                  <c:v>45447</c:v>
                </c:pt>
                <c:pt idx="6">
                  <c:v>45478</c:v>
                </c:pt>
                <c:pt idx="7">
                  <c:v>45509</c:v>
                </c:pt>
                <c:pt idx="8">
                  <c:v>45540</c:v>
                </c:pt>
                <c:pt idx="9">
                  <c:v>45571</c:v>
                </c:pt>
                <c:pt idx="10">
                  <c:v>45602</c:v>
                </c:pt>
                <c:pt idx="11">
                  <c:v>45633</c:v>
                </c:pt>
              </c:numCache>
            </c:numRef>
          </c:cat>
          <c:val>
            <c:numRef>
              <c:f>Graphs!$C$128:$N$128</c:f>
              <c:numCache>
                <c:formatCode>"$"#,##0_);[Red]\("$"#,##0\)</c:formatCode>
                <c:ptCount val="12"/>
                <c:pt idx="0">
                  <c:v>317277.33333333326</c:v>
                </c:pt>
                <c:pt idx="1">
                  <c:v>237408.45333333322</c:v>
                </c:pt>
                <c:pt idx="2">
                  <c:v>238202.70693333322</c:v>
                </c:pt>
                <c:pt idx="3">
                  <c:v>247420.78814133321</c:v>
                </c:pt>
                <c:pt idx="4">
                  <c:v>248263.41178557323</c:v>
                </c:pt>
                <c:pt idx="5">
                  <c:v>257531.31413914042</c:v>
                </c:pt>
                <c:pt idx="6">
                  <c:v>258425.25356331459</c:v>
                </c:pt>
                <c:pt idx="7">
                  <c:v>267746.01117021416</c:v>
                </c:pt>
                <c:pt idx="8">
                  <c:v>268694.3915053205</c:v>
                </c:pt>
                <c:pt idx="9">
                  <c:v>278071.22325048025</c:v>
                </c:pt>
                <c:pt idx="10">
                  <c:v>279077.35994799464</c:v>
                </c:pt>
                <c:pt idx="11">
                  <c:v>288513.68074643431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7-4A34-A712-E3A772D34444}"/>
            </c:ext>
          </c:extLst>
        </c:ser>
        <c:ser>
          <c:idx val="1"/>
          <c:order val="1"/>
          <c:tx>
            <c:strRef>
              <c:f>Graphs!$B$129</c:f>
              <c:strCache>
                <c:ptCount val="1"/>
                <c:pt idx="0">
                  <c:v>Marketing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Graphs!$C$127:$N$127</c:f>
              <c:numCache>
                <c:formatCode>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45354</c:v>
                </c:pt>
                <c:pt idx="3">
                  <c:v>45385</c:v>
                </c:pt>
                <c:pt idx="4">
                  <c:v>45416</c:v>
                </c:pt>
                <c:pt idx="5">
                  <c:v>45447</c:v>
                </c:pt>
                <c:pt idx="6">
                  <c:v>45478</c:v>
                </c:pt>
                <c:pt idx="7">
                  <c:v>45509</c:v>
                </c:pt>
                <c:pt idx="8">
                  <c:v>45540</c:v>
                </c:pt>
                <c:pt idx="9">
                  <c:v>45571</c:v>
                </c:pt>
                <c:pt idx="10">
                  <c:v>45602</c:v>
                </c:pt>
                <c:pt idx="11">
                  <c:v>45633</c:v>
                </c:pt>
              </c:numCache>
            </c:numRef>
          </c:cat>
          <c:val>
            <c:numRef>
              <c:f>Graphs!$C$129:$N$129</c:f>
              <c:numCache>
                <c:formatCode>"$"#,##0_);[Red]\("$"#,##0\)</c:formatCode>
                <c:ptCount val="12"/>
                <c:pt idx="0">
                  <c:v>1346426.6666666665</c:v>
                </c:pt>
                <c:pt idx="1">
                  <c:v>444266.6666666664</c:v>
                </c:pt>
                <c:pt idx="2">
                  <c:v>444266.6666666664</c:v>
                </c:pt>
                <c:pt idx="3">
                  <c:v>444266.6666666664</c:v>
                </c:pt>
                <c:pt idx="4">
                  <c:v>444266.6666666664</c:v>
                </c:pt>
                <c:pt idx="5">
                  <c:v>444266.6666666664</c:v>
                </c:pt>
                <c:pt idx="6">
                  <c:v>444266.6666666664</c:v>
                </c:pt>
                <c:pt idx="7">
                  <c:v>444266.6666666664</c:v>
                </c:pt>
                <c:pt idx="8">
                  <c:v>444266.6666666664</c:v>
                </c:pt>
                <c:pt idx="9">
                  <c:v>444266.6666666664</c:v>
                </c:pt>
                <c:pt idx="10">
                  <c:v>444266.6666666664</c:v>
                </c:pt>
                <c:pt idx="11">
                  <c:v>444266.6666666664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57-4A34-A712-E3A772D34444}"/>
            </c:ext>
          </c:extLst>
        </c:ser>
        <c:ser>
          <c:idx val="2"/>
          <c:order val="2"/>
          <c:tx>
            <c:strRef>
              <c:f>Graphs!$B$130</c:f>
              <c:strCache>
                <c:ptCount val="1"/>
                <c:pt idx="0">
                  <c:v>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Graphs!$C$127:$N$127</c:f>
              <c:numCache>
                <c:formatCode>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45354</c:v>
                </c:pt>
                <c:pt idx="3">
                  <c:v>45385</c:v>
                </c:pt>
                <c:pt idx="4">
                  <c:v>45416</c:v>
                </c:pt>
                <c:pt idx="5">
                  <c:v>45447</c:v>
                </c:pt>
                <c:pt idx="6">
                  <c:v>45478</c:v>
                </c:pt>
                <c:pt idx="7">
                  <c:v>45509</c:v>
                </c:pt>
                <c:pt idx="8">
                  <c:v>45540</c:v>
                </c:pt>
                <c:pt idx="9">
                  <c:v>45571</c:v>
                </c:pt>
                <c:pt idx="10">
                  <c:v>45602</c:v>
                </c:pt>
                <c:pt idx="11">
                  <c:v>45633</c:v>
                </c:pt>
              </c:numCache>
            </c:numRef>
          </c:cat>
          <c:val>
            <c:numRef>
              <c:f>Graphs!$C$130:$N$130</c:f>
              <c:numCache>
                <c:formatCode>"$"#,##0_);[Red]\("$"#,##0\)</c:formatCode>
                <c:ptCount val="12"/>
                <c:pt idx="0">
                  <c:v>344119.99999999994</c:v>
                </c:pt>
                <c:pt idx="1">
                  <c:v>113399.99999999994</c:v>
                </c:pt>
                <c:pt idx="2">
                  <c:v>113399.99999999994</c:v>
                </c:pt>
                <c:pt idx="3">
                  <c:v>113399.99999999994</c:v>
                </c:pt>
                <c:pt idx="4">
                  <c:v>113399.99999999994</c:v>
                </c:pt>
                <c:pt idx="5">
                  <c:v>113399.99999999994</c:v>
                </c:pt>
                <c:pt idx="6">
                  <c:v>113399.99999999994</c:v>
                </c:pt>
                <c:pt idx="7">
                  <c:v>113399.99999999994</c:v>
                </c:pt>
                <c:pt idx="8">
                  <c:v>113399.99999999994</c:v>
                </c:pt>
                <c:pt idx="9">
                  <c:v>113399.99999999994</c:v>
                </c:pt>
                <c:pt idx="10">
                  <c:v>113399.99999999994</c:v>
                </c:pt>
                <c:pt idx="11">
                  <c:v>113399.99999999994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57-4A34-A712-E3A772D34444}"/>
            </c:ext>
          </c:extLst>
        </c:ser>
        <c:ser>
          <c:idx val="3"/>
          <c:order val="3"/>
          <c:tx>
            <c:strRef>
              <c:f>Graphs!$B$131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Graphs!$C$127:$N$127</c:f>
              <c:numCache>
                <c:formatCode>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45354</c:v>
                </c:pt>
                <c:pt idx="3">
                  <c:v>45385</c:v>
                </c:pt>
                <c:pt idx="4">
                  <c:v>45416</c:v>
                </c:pt>
                <c:pt idx="5">
                  <c:v>45447</c:v>
                </c:pt>
                <c:pt idx="6">
                  <c:v>45478</c:v>
                </c:pt>
                <c:pt idx="7">
                  <c:v>45509</c:v>
                </c:pt>
                <c:pt idx="8">
                  <c:v>45540</c:v>
                </c:pt>
                <c:pt idx="9">
                  <c:v>45571</c:v>
                </c:pt>
                <c:pt idx="10">
                  <c:v>45602</c:v>
                </c:pt>
                <c:pt idx="11">
                  <c:v>45633</c:v>
                </c:pt>
              </c:numCache>
            </c:numRef>
          </c:cat>
          <c:val>
            <c:numRef>
              <c:f>Graphs!$C$131:$N$131</c:f>
              <c:numCache>
                <c:formatCode>"$"#,##0_);[Red]\("$"#,##0\)</c:formatCode>
                <c:ptCount val="12"/>
                <c:pt idx="0">
                  <c:v>238933.33333333331</c:v>
                </c:pt>
                <c:pt idx="1">
                  <c:v>82133.333333333299</c:v>
                </c:pt>
                <c:pt idx="2">
                  <c:v>82133.333333333299</c:v>
                </c:pt>
                <c:pt idx="3">
                  <c:v>82133.333333333299</c:v>
                </c:pt>
                <c:pt idx="4">
                  <c:v>85866.666666666628</c:v>
                </c:pt>
                <c:pt idx="5">
                  <c:v>85866.666666666628</c:v>
                </c:pt>
                <c:pt idx="6">
                  <c:v>88666.666666666628</c:v>
                </c:pt>
                <c:pt idx="7">
                  <c:v>88666.666666666628</c:v>
                </c:pt>
                <c:pt idx="8">
                  <c:v>88666.666666666628</c:v>
                </c:pt>
                <c:pt idx="9">
                  <c:v>92399.999999999956</c:v>
                </c:pt>
                <c:pt idx="10">
                  <c:v>97999.999999999956</c:v>
                </c:pt>
                <c:pt idx="11">
                  <c:v>97999.999999999956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57-4A34-A712-E3A772D34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434051424"/>
        <c:axId val="434063232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Graphs!$B$132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Graphs!$C$127:$N$127</c15:sqref>
                        </c15:formulaRef>
                      </c:ext>
                    </c:extLst>
                    <c:numCache>
                      <c:formatCode>mmm\-yy;@</c:formatCode>
                      <c:ptCount val="12"/>
                      <c:pt idx="0">
                        <c:v>45292</c:v>
                      </c:pt>
                      <c:pt idx="1">
                        <c:v>45323</c:v>
                      </c:pt>
                      <c:pt idx="2">
                        <c:v>45354</c:v>
                      </c:pt>
                      <c:pt idx="3">
                        <c:v>45385</c:v>
                      </c:pt>
                      <c:pt idx="4">
                        <c:v>45416</c:v>
                      </c:pt>
                      <c:pt idx="5">
                        <c:v>45447</c:v>
                      </c:pt>
                      <c:pt idx="6">
                        <c:v>45478</c:v>
                      </c:pt>
                      <c:pt idx="7">
                        <c:v>45509</c:v>
                      </c:pt>
                      <c:pt idx="8">
                        <c:v>45540</c:v>
                      </c:pt>
                      <c:pt idx="9">
                        <c:v>45571</c:v>
                      </c:pt>
                      <c:pt idx="10">
                        <c:v>45602</c:v>
                      </c:pt>
                      <c:pt idx="11">
                        <c:v>45633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Graphs!$C$132:$N$132</c15:sqref>
                        </c15:formulaRef>
                      </c:ext>
                    </c:extLst>
                    <c:numCache>
                      <c:formatCode>"$"#,##0_);[Red]\("$"#,##0\)</c:formatCode>
                      <c:ptCount val="12"/>
                      <c:pt idx="0">
                        <c:v>2246757.333333333</c:v>
                      </c:pt>
                      <c:pt idx="1">
                        <c:v>877208.4533333329</c:v>
                      </c:pt>
                      <c:pt idx="2">
                        <c:v>878002.70693333284</c:v>
                      </c:pt>
                      <c:pt idx="3">
                        <c:v>887220.7881413328</c:v>
                      </c:pt>
                      <c:pt idx="4">
                        <c:v>891796.74511890614</c:v>
                      </c:pt>
                      <c:pt idx="5">
                        <c:v>901064.64747247344</c:v>
                      </c:pt>
                      <c:pt idx="6">
                        <c:v>904758.58689664758</c:v>
                      </c:pt>
                      <c:pt idx="7">
                        <c:v>914079.34450354718</c:v>
                      </c:pt>
                      <c:pt idx="8">
                        <c:v>915027.72483865346</c:v>
                      </c:pt>
                      <c:pt idx="9">
                        <c:v>928137.88991714665</c:v>
                      </c:pt>
                      <c:pt idx="10">
                        <c:v>934744.0266146611</c:v>
                      </c:pt>
                      <c:pt idx="11">
                        <c:v>944180.34741310077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F57-4A34-A712-E3A772D34444}"/>
                  </c:ext>
                </c:extLst>
              </c15:ser>
            </c15:filteredBarSeries>
          </c:ext>
        </c:extLst>
      </c:barChart>
      <c:dateAx>
        <c:axId val="43405142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4063232"/>
        <c:crosses val="autoZero"/>
        <c:auto val="1"/>
        <c:lblOffset val="100"/>
        <c:baseTimeUnit val="months"/>
      </c:dateAx>
      <c:valAx>
        <c:axId val="434063232"/>
        <c:scaling>
          <c:orientation val="minMax"/>
          <c:max val="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4051424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47189562826546"/>
          <c:y val="0.90549567277902254"/>
          <c:w val="0.17952138957152958"/>
          <c:h val="6.5678884568855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44739</xdr:colOff>
      <xdr:row>3</xdr:row>
      <xdr:rowOff>127001</xdr:rowOff>
    </xdr:from>
    <xdr:to>
      <xdr:col>16</xdr:col>
      <xdr:colOff>14433</xdr:colOff>
      <xdr:row>17</xdr:row>
      <xdr:rowOff>116899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9E1D52-9E28-4A49-A88D-4AA8438AF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15</xdr:col>
      <xdr:colOff>1135784</xdr:colOff>
      <xdr:row>32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B82F437-72A5-4BBA-94FB-FEC7B8B42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15</xdr:col>
      <xdr:colOff>1135784</xdr:colOff>
      <xdr:row>49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E9418A-C075-48DD-976C-805F080D3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41563</xdr:colOff>
      <xdr:row>48</xdr:row>
      <xdr:rowOff>163946</xdr:rowOff>
    </xdr:from>
    <xdr:to>
      <xdr:col>16</xdr:col>
      <xdr:colOff>8947</xdr:colOff>
      <xdr:row>65</xdr:row>
      <xdr:rowOff>107663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353FAED-E951-4B91-ABAE-78833FB94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139577</xdr:colOff>
      <xdr:row>66</xdr:row>
      <xdr:rowOff>122876</xdr:rowOff>
    </xdr:from>
    <xdr:to>
      <xdr:col>15</xdr:col>
      <xdr:colOff>1065234</xdr:colOff>
      <xdr:row>83</xdr:row>
      <xdr:rowOff>66593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5BBA9E2-9DA2-4856-BD68-070D0BEAF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styl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D6A93"/>
      </a:accent1>
      <a:accent2>
        <a:srgbClr val="4679A7"/>
      </a:accent2>
      <a:accent3>
        <a:srgbClr val="5591C7"/>
      </a:accent3>
      <a:accent4>
        <a:srgbClr val="5B9BD5"/>
      </a:accent4>
      <a:accent5>
        <a:srgbClr val="A1BEE2"/>
      </a:accent5>
      <a:accent6>
        <a:srgbClr val="CCDAE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3650D-54D9-47C4-BD45-BA5C94E6DE4A}">
  <dimension ref="B1:P36"/>
  <sheetViews>
    <sheetView showGridLines="0" tabSelected="1" zoomScaleNormal="100" workbookViewId="0">
      <pane ySplit="3" topLeftCell="A4" activePane="bottomLeft" state="frozen"/>
      <selection pane="bottomLeft" activeCell="E7" sqref="E7"/>
    </sheetView>
  </sheetViews>
  <sheetFormatPr defaultColWidth="10.81640625" defaultRowHeight="14.5" x14ac:dyDescent="0.35"/>
  <cols>
    <col min="1" max="1" width="3" customWidth="1"/>
    <col min="2" max="2" width="45" customWidth="1"/>
    <col min="3" max="3" width="21.81640625" customWidth="1"/>
    <col min="4" max="16" width="16.6328125" customWidth="1"/>
  </cols>
  <sheetData>
    <row r="1" spans="2:16" ht="5" customHeight="1" x14ac:dyDescent="0.35"/>
    <row r="2" spans="2:16" ht="25" customHeight="1" x14ac:dyDescent="0.35">
      <c r="B2" s="75" t="s">
        <v>118</v>
      </c>
      <c r="C2" s="76"/>
      <c r="D2" s="76"/>
      <c r="E2" s="76"/>
      <c r="F2" s="76"/>
      <c r="G2" s="76"/>
      <c r="H2" s="76"/>
      <c r="I2" s="77"/>
      <c r="J2" s="77"/>
      <c r="K2" s="77"/>
      <c r="L2" s="77"/>
      <c r="M2" s="77"/>
      <c r="N2" s="77"/>
      <c r="O2" s="77"/>
      <c r="P2" s="77"/>
    </row>
    <row r="3" spans="2:16" ht="17.5" customHeight="1" x14ac:dyDescent="0.35">
      <c r="B3" s="78" t="s">
        <v>19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2:16" ht="17.5" customHeight="1" x14ac:dyDescent="0.4">
      <c r="B4" s="4" t="s">
        <v>12</v>
      </c>
      <c r="C4" s="22" t="s">
        <v>67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6" ht="17.5" customHeight="1" x14ac:dyDescent="0.35">
      <c r="B5" s="13" t="s">
        <v>3</v>
      </c>
      <c r="C5" s="2">
        <v>25000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2:16" ht="17.5" customHeight="1" x14ac:dyDescent="0.35">
      <c r="B6" s="13" t="s">
        <v>4</v>
      </c>
      <c r="C6" s="2">
        <v>15000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6" ht="17.5" customHeight="1" x14ac:dyDescent="0.35">
      <c r="B7" s="13" t="s">
        <v>0</v>
      </c>
      <c r="C7" s="2">
        <v>5000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6" ht="17.5" customHeight="1" x14ac:dyDescent="0.35">
      <c r="B8" s="13" t="s">
        <v>1</v>
      </c>
      <c r="C8" s="2">
        <v>1000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6" ht="17.5" customHeight="1" x14ac:dyDescent="0.35">
      <c r="B9" s="13" t="s">
        <v>2</v>
      </c>
      <c r="C9" s="2">
        <v>1000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2:16" ht="17.5" customHeight="1" x14ac:dyDescent="0.35">
      <c r="B10" s="3" t="s">
        <v>14</v>
      </c>
      <c r="C10" s="3"/>
      <c r="D10" s="26">
        <v>0.03</v>
      </c>
      <c r="E10" s="27">
        <f>D10</f>
        <v>0.03</v>
      </c>
      <c r="F10" s="27">
        <f>E10</f>
        <v>0.03</v>
      </c>
      <c r="G10" s="27">
        <f t="shared" ref="G10:O10" si="0">F10</f>
        <v>0.03</v>
      </c>
      <c r="H10" s="27">
        <f t="shared" si="0"/>
        <v>0.03</v>
      </c>
      <c r="I10" s="27">
        <f t="shared" si="0"/>
        <v>0.03</v>
      </c>
      <c r="J10" s="27">
        <f t="shared" si="0"/>
        <v>0.03</v>
      </c>
      <c r="K10" s="27">
        <f t="shared" si="0"/>
        <v>0.03</v>
      </c>
      <c r="L10" s="27">
        <f t="shared" si="0"/>
        <v>0.03</v>
      </c>
      <c r="M10" s="27">
        <f t="shared" si="0"/>
        <v>0.03</v>
      </c>
      <c r="N10" s="27">
        <f t="shared" si="0"/>
        <v>0.03</v>
      </c>
      <c r="O10" s="27">
        <f t="shared" si="0"/>
        <v>0.03</v>
      </c>
    </row>
    <row r="11" spans="2:16" ht="17.5" customHeight="1" x14ac:dyDescent="0.35"/>
    <row r="12" spans="2:16" ht="17.5" customHeight="1" x14ac:dyDescent="0.4">
      <c r="B12" s="4" t="s">
        <v>27</v>
      </c>
      <c r="C12" s="21" t="s">
        <v>58</v>
      </c>
      <c r="D12" s="21">
        <v>45292</v>
      </c>
      <c r="E12" s="21">
        <f>+D12+31</f>
        <v>45323</v>
      </c>
      <c r="F12" s="21">
        <f t="shared" ref="F12:O12" si="1">+E12+31</f>
        <v>45354</v>
      </c>
      <c r="G12" s="21">
        <f t="shared" si="1"/>
        <v>45385</v>
      </c>
      <c r="H12" s="21">
        <f t="shared" si="1"/>
        <v>45416</v>
      </c>
      <c r="I12" s="21">
        <f t="shared" si="1"/>
        <v>45447</v>
      </c>
      <c r="J12" s="21">
        <f t="shared" si="1"/>
        <v>45478</v>
      </c>
      <c r="K12" s="21">
        <f t="shared" si="1"/>
        <v>45509</v>
      </c>
      <c r="L12" s="21">
        <f t="shared" si="1"/>
        <v>45540</v>
      </c>
      <c r="M12" s="21">
        <f t="shared" si="1"/>
        <v>45571</v>
      </c>
      <c r="N12" s="21">
        <f t="shared" si="1"/>
        <v>45602</v>
      </c>
      <c r="O12" s="21">
        <f t="shared" si="1"/>
        <v>45633</v>
      </c>
      <c r="P12" s="22" t="s">
        <v>17</v>
      </c>
    </row>
    <row r="13" spans="2:16" ht="17.5" customHeight="1" x14ac:dyDescent="0.35">
      <c r="B13" s="6" t="str">
        <f>+B5</f>
        <v>Large Corporate</v>
      </c>
      <c r="C13" s="28">
        <v>100</v>
      </c>
      <c r="D13" s="23">
        <f t="shared" ref="D13:O17" si="2">C13*(1+D$10)</f>
        <v>103</v>
      </c>
      <c r="E13" s="23">
        <f t="shared" si="2"/>
        <v>106.09</v>
      </c>
      <c r="F13" s="23">
        <f t="shared" si="2"/>
        <v>109.2727</v>
      </c>
      <c r="G13" s="23">
        <f t="shared" si="2"/>
        <v>112.550881</v>
      </c>
      <c r="H13" s="23">
        <f t="shared" si="2"/>
        <v>115.92740743</v>
      </c>
      <c r="I13" s="23">
        <f t="shared" si="2"/>
        <v>119.4052296529</v>
      </c>
      <c r="J13" s="23">
        <f t="shared" si="2"/>
        <v>122.987386542487</v>
      </c>
      <c r="K13" s="23">
        <f t="shared" si="2"/>
        <v>126.67700813876162</v>
      </c>
      <c r="L13" s="23">
        <f t="shared" si="2"/>
        <v>130.47731838292447</v>
      </c>
      <c r="M13" s="23">
        <f t="shared" si="2"/>
        <v>134.39163793441222</v>
      </c>
      <c r="N13" s="23">
        <f t="shared" si="2"/>
        <v>138.4233870724446</v>
      </c>
      <c r="O13" s="23">
        <f t="shared" si="2"/>
        <v>142.57608868461793</v>
      </c>
      <c r="P13" s="23">
        <f>+O13-C13</f>
        <v>42.576088684617929</v>
      </c>
    </row>
    <row r="14" spans="2:16" ht="17.5" customHeight="1" x14ac:dyDescent="0.35">
      <c r="B14" s="6" t="str">
        <f>+B6</f>
        <v>Medium Corporate</v>
      </c>
      <c r="C14" s="28">
        <v>100</v>
      </c>
      <c r="D14" s="23">
        <f t="shared" si="2"/>
        <v>103</v>
      </c>
      <c r="E14" s="23">
        <f t="shared" si="2"/>
        <v>106.09</v>
      </c>
      <c r="F14" s="23">
        <f t="shared" si="2"/>
        <v>109.2727</v>
      </c>
      <c r="G14" s="23">
        <f t="shared" si="2"/>
        <v>112.550881</v>
      </c>
      <c r="H14" s="23">
        <f t="shared" si="2"/>
        <v>115.92740743</v>
      </c>
      <c r="I14" s="23">
        <f t="shared" si="2"/>
        <v>119.4052296529</v>
      </c>
      <c r="J14" s="23">
        <f t="shared" si="2"/>
        <v>122.987386542487</v>
      </c>
      <c r="K14" s="23">
        <f t="shared" si="2"/>
        <v>126.67700813876162</v>
      </c>
      <c r="L14" s="23">
        <f t="shared" si="2"/>
        <v>130.47731838292447</v>
      </c>
      <c r="M14" s="23">
        <f t="shared" si="2"/>
        <v>134.39163793441222</v>
      </c>
      <c r="N14" s="23">
        <f t="shared" si="2"/>
        <v>138.4233870724446</v>
      </c>
      <c r="O14" s="23">
        <f t="shared" si="2"/>
        <v>142.57608868461793</v>
      </c>
      <c r="P14" s="23">
        <f t="shared" ref="P14:P18" si="3">+O14-C14</f>
        <v>42.576088684617929</v>
      </c>
    </row>
    <row r="15" spans="2:16" ht="17.5" customHeight="1" x14ac:dyDescent="0.35">
      <c r="B15" s="6" t="str">
        <f>+B7</f>
        <v>SMEs</v>
      </c>
      <c r="C15" s="28">
        <v>200</v>
      </c>
      <c r="D15" s="23">
        <f t="shared" si="2"/>
        <v>206</v>
      </c>
      <c r="E15" s="23">
        <f t="shared" si="2"/>
        <v>212.18</v>
      </c>
      <c r="F15" s="23">
        <f t="shared" si="2"/>
        <v>218.5454</v>
      </c>
      <c r="G15" s="23">
        <f t="shared" si="2"/>
        <v>225.10176200000001</v>
      </c>
      <c r="H15" s="23">
        <f t="shared" si="2"/>
        <v>231.85481486</v>
      </c>
      <c r="I15" s="23">
        <f t="shared" si="2"/>
        <v>238.81045930580001</v>
      </c>
      <c r="J15" s="23">
        <f t="shared" si="2"/>
        <v>245.974773084974</v>
      </c>
      <c r="K15" s="23">
        <f t="shared" si="2"/>
        <v>253.35401627752324</v>
      </c>
      <c r="L15" s="23">
        <f t="shared" si="2"/>
        <v>260.95463676584893</v>
      </c>
      <c r="M15" s="23">
        <f t="shared" si="2"/>
        <v>268.78327586882443</v>
      </c>
      <c r="N15" s="23">
        <f t="shared" si="2"/>
        <v>276.8467741448892</v>
      </c>
      <c r="O15" s="23">
        <f t="shared" si="2"/>
        <v>285.15217736923586</v>
      </c>
      <c r="P15" s="23">
        <f t="shared" si="3"/>
        <v>85.152177369235858</v>
      </c>
    </row>
    <row r="16" spans="2:16" ht="17.5" customHeight="1" x14ac:dyDescent="0.35">
      <c r="B16" s="6" t="str">
        <f>+B8</f>
        <v>Individual</v>
      </c>
      <c r="C16" s="28">
        <v>50</v>
      </c>
      <c r="D16" s="23">
        <f t="shared" si="2"/>
        <v>51.5</v>
      </c>
      <c r="E16" s="23">
        <f t="shared" si="2"/>
        <v>53.045000000000002</v>
      </c>
      <c r="F16" s="23">
        <f t="shared" si="2"/>
        <v>54.63635</v>
      </c>
      <c r="G16" s="23">
        <f t="shared" si="2"/>
        <v>56.275440500000002</v>
      </c>
      <c r="H16" s="23">
        <f t="shared" si="2"/>
        <v>57.963703715000001</v>
      </c>
      <c r="I16" s="23">
        <f t="shared" si="2"/>
        <v>59.702614826450002</v>
      </c>
      <c r="J16" s="23">
        <f t="shared" si="2"/>
        <v>61.493693271243501</v>
      </c>
      <c r="K16" s="23">
        <f t="shared" si="2"/>
        <v>63.338504069380811</v>
      </c>
      <c r="L16" s="23">
        <f t="shared" si="2"/>
        <v>65.238659191462233</v>
      </c>
      <c r="M16" s="23">
        <f t="shared" si="2"/>
        <v>67.195818967206108</v>
      </c>
      <c r="N16" s="23">
        <f t="shared" si="2"/>
        <v>69.211693536222299</v>
      </c>
      <c r="O16" s="23">
        <f t="shared" si="2"/>
        <v>71.288044342308964</v>
      </c>
      <c r="P16" s="23">
        <f t="shared" si="3"/>
        <v>21.288044342308964</v>
      </c>
    </row>
    <row r="17" spans="2:16" ht="17.5" customHeight="1" x14ac:dyDescent="0.35">
      <c r="B17" s="6" t="str">
        <f>+B9</f>
        <v>Other</v>
      </c>
      <c r="C17" s="29">
        <v>50</v>
      </c>
      <c r="D17" s="24">
        <f t="shared" si="2"/>
        <v>51.5</v>
      </c>
      <c r="E17" s="24">
        <f t="shared" si="2"/>
        <v>53.045000000000002</v>
      </c>
      <c r="F17" s="24">
        <f t="shared" si="2"/>
        <v>54.63635</v>
      </c>
      <c r="G17" s="24">
        <f t="shared" si="2"/>
        <v>56.275440500000002</v>
      </c>
      <c r="H17" s="24">
        <f t="shared" si="2"/>
        <v>57.963703715000001</v>
      </c>
      <c r="I17" s="24">
        <f t="shared" si="2"/>
        <v>59.702614826450002</v>
      </c>
      <c r="J17" s="24">
        <f t="shared" si="2"/>
        <v>61.493693271243501</v>
      </c>
      <c r="K17" s="24">
        <f t="shared" si="2"/>
        <v>63.338504069380811</v>
      </c>
      <c r="L17" s="24">
        <f t="shared" si="2"/>
        <v>65.238659191462233</v>
      </c>
      <c r="M17" s="24">
        <f t="shared" si="2"/>
        <v>67.195818967206108</v>
      </c>
      <c r="N17" s="24">
        <f t="shared" si="2"/>
        <v>69.211693536222299</v>
      </c>
      <c r="O17" s="24">
        <f t="shared" si="2"/>
        <v>71.288044342308964</v>
      </c>
      <c r="P17" s="24">
        <f t="shared" si="3"/>
        <v>21.288044342308964</v>
      </c>
    </row>
    <row r="18" spans="2:16" ht="17.5" customHeight="1" x14ac:dyDescent="0.4">
      <c r="B18" s="4" t="s">
        <v>15</v>
      </c>
      <c r="C18" s="25">
        <f>SUM(C13:C17)</f>
        <v>500</v>
      </c>
      <c r="D18" s="25">
        <f>SUM(D13:D17)</f>
        <v>515</v>
      </c>
      <c r="E18" s="25">
        <f t="shared" ref="E18:O18" si="4">SUM(E13:E17)</f>
        <v>530.45000000000005</v>
      </c>
      <c r="F18" s="25">
        <f t="shared" si="4"/>
        <v>546.36350000000004</v>
      </c>
      <c r="G18" s="25">
        <f t="shared" si="4"/>
        <v>562.75440500000002</v>
      </c>
      <c r="H18" s="25">
        <f t="shared" si="4"/>
        <v>579.63703714999997</v>
      </c>
      <c r="I18" s="25">
        <f t="shared" si="4"/>
        <v>597.02614826450008</v>
      </c>
      <c r="J18" s="25">
        <f t="shared" si="4"/>
        <v>614.93693271243501</v>
      </c>
      <c r="K18" s="25">
        <f t="shared" si="4"/>
        <v>633.38504069380815</v>
      </c>
      <c r="L18" s="25">
        <f t="shared" si="4"/>
        <v>652.38659191462239</v>
      </c>
      <c r="M18" s="25">
        <f t="shared" si="4"/>
        <v>671.95818967206117</v>
      </c>
      <c r="N18" s="25">
        <f t="shared" si="4"/>
        <v>692.1169353622231</v>
      </c>
      <c r="O18" s="25">
        <f t="shared" si="4"/>
        <v>712.88044342308956</v>
      </c>
      <c r="P18" s="25">
        <f t="shared" si="3"/>
        <v>212.88044342308956</v>
      </c>
    </row>
    <row r="19" spans="2:16" ht="17.5" customHeight="1" x14ac:dyDescent="0.4">
      <c r="B19" s="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2:16" ht="17.5" customHeight="1" x14ac:dyDescent="0.35">
      <c r="B20" s="78" t="s">
        <v>18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2:16" ht="17.5" customHeight="1" x14ac:dyDescent="0.4">
      <c r="B21" s="4" t="s">
        <v>18</v>
      </c>
      <c r="C21" s="21" t="s">
        <v>58</v>
      </c>
      <c r="D21" s="21">
        <f>D12</f>
        <v>45292</v>
      </c>
      <c r="E21" s="21">
        <f t="shared" ref="E21:P21" si="5">E12</f>
        <v>45323</v>
      </c>
      <c r="F21" s="21">
        <f t="shared" si="5"/>
        <v>45354</v>
      </c>
      <c r="G21" s="21">
        <f t="shared" si="5"/>
        <v>45385</v>
      </c>
      <c r="H21" s="21">
        <f t="shared" si="5"/>
        <v>45416</v>
      </c>
      <c r="I21" s="21">
        <f t="shared" si="5"/>
        <v>45447</v>
      </c>
      <c r="J21" s="21">
        <f t="shared" si="5"/>
        <v>45478</v>
      </c>
      <c r="K21" s="21">
        <f t="shared" si="5"/>
        <v>45509</v>
      </c>
      <c r="L21" s="21">
        <f t="shared" si="5"/>
        <v>45540</v>
      </c>
      <c r="M21" s="21">
        <f t="shared" si="5"/>
        <v>45571</v>
      </c>
      <c r="N21" s="21">
        <f t="shared" si="5"/>
        <v>45602</v>
      </c>
      <c r="O21" s="21">
        <f t="shared" si="5"/>
        <v>45633</v>
      </c>
      <c r="P21" s="22" t="str">
        <f t="shared" si="5"/>
        <v>Year</v>
      </c>
    </row>
    <row r="22" spans="2:16" ht="17.5" customHeight="1" x14ac:dyDescent="0.35">
      <c r="B22" s="6" t="str">
        <f>+B13</f>
        <v>Large Corporate</v>
      </c>
      <c r="C22" s="40">
        <f t="shared" ref="C22" si="6">+C13*$C$5</f>
        <v>2500000</v>
      </c>
      <c r="D22" s="40">
        <f t="shared" ref="D22:O22" si="7">+D13*$C$5</f>
        <v>2575000</v>
      </c>
      <c r="E22" s="40">
        <f t="shared" si="7"/>
        <v>2652250</v>
      </c>
      <c r="F22" s="40">
        <f t="shared" si="7"/>
        <v>2731817.5</v>
      </c>
      <c r="G22" s="40">
        <f t="shared" si="7"/>
        <v>2813772.0249999999</v>
      </c>
      <c r="H22" s="40">
        <f t="shared" si="7"/>
        <v>2898185.1857500002</v>
      </c>
      <c r="I22" s="40">
        <f t="shared" si="7"/>
        <v>2985130.7413225002</v>
      </c>
      <c r="J22" s="40">
        <f t="shared" si="7"/>
        <v>3074684.6635621749</v>
      </c>
      <c r="K22" s="40">
        <f t="shared" si="7"/>
        <v>3166925.2034690403</v>
      </c>
      <c r="L22" s="40">
        <f t="shared" si="7"/>
        <v>3261932.9595731115</v>
      </c>
      <c r="M22" s="40">
        <f t="shared" si="7"/>
        <v>3359790.9483603053</v>
      </c>
      <c r="N22" s="40">
        <f t="shared" si="7"/>
        <v>3460584.6768111149</v>
      </c>
      <c r="O22" s="40">
        <f t="shared" si="7"/>
        <v>3564402.2171154483</v>
      </c>
      <c r="P22" s="40">
        <f>SUM(D22:O22)</f>
        <v>36544476.1209637</v>
      </c>
    </row>
    <row r="23" spans="2:16" ht="17.5" customHeight="1" x14ac:dyDescent="0.35">
      <c r="B23" s="6" t="str">
        <f>+B14</f>
        <v>Medium Corporate</v>
      </c>
      <c r="C23" s="40">
        <f t="shared" ref="C23" si="8">+C14*$C$6</f>
        <v>1500000</v>
      </c>
      <c r="D23" s="40">
        <f t="shared" ref="D23:O23" si="9">+D14*$C$6</f>
        <v>1545000</v>
      </c>
      <c r="E23" s="40">
        <f t="shared" si="9"/>
        <v>1591350</v>
      </c>
      <c r="F23" s="40">
        <f t="shared" si="9"/>
        <v>1639090.5</v>
      </c>
      <c r="G23" s="40">
        <f t="shared" si="9"/>
        <v>1688263.2150000001</v>
      </c>
      <c r="H23" s="40">
        <f t="shared" si="9"/>
        <v>1738911.11145</v>
      </c>
      <c r="I23" s="40">
        <f t="shared" si="9"/>
        <v>1791078.4447935</v>
      </c>
      <c r="J23" s="40">
        <f t="shared" si="9"/>
        <v>1844810.7981373051</v>
      </c>
      <c r="K23" s="40">
        <f t="shared" si="9"/>
        <v>1900155.1220814243</v>
      </c>
      <c r="L23" s="40">
        <f t="shared" si="9"/>
        <v>1957159.775743867</v>
      </c>
      <c r="M23" s="40">
        <f t="shared" si="9"/>
        <v>2015874.5690161833</v>
      </c>
      <c r="N23" s="40">
        <f t="shared" si="9"/>
        <v>2076350.806086669</v>
      </c>
      <c r="O23" s="40">
        <f t="shared" si="9"/>
        <v>2138641.3302692687</v>
      </c>
      <c r="P23" s="40">
        <f t="shared" ref="P23:P26" si="10">SUM(D23:O23)</f>
        <v>21926685.672578219</v>
      </c>
    </row>
    <row r="24" spans="2:16" ht="17.5" customHeight="1" x14ac:dyDescent="0.35">
      <c r="B24" s="6" t="str">
        <f>+B15</f>
        <v>SMEs</v>
      </c>
      <c r="C24" s="40">
        <f t="shared" ref="C24" si="11">+C15*$C$7</f>
        <v>1000000</v>
      </c>
      <c r="D24" s="40">
        <f t="shared" ref="D24:O24" si="12">+D15*$C$7</f>
        <v>1030000</v>
      </c>
      <c r="E24" s="40">
        <f t="shared" si="12"/>
        <v>1060900</v>
      </c>
      <c r="F24" s="40">
        <f t="shared" si="12"/>
        <v>1092727</v>
      </c>
      <c r="G24" s="40">
        <f t="shared" si="12"/>
        <v>1125508.81</v>
      </c>
      <c r="H24" s="40">
        <f t="shared" si="12"/>
        <v>1159274.0743</v>
      </c>
      <c r="I24" s="40">
        <f t="shared" si="12"/>
        <v>1194052.2965290002</v>
      </c>
      <c r="J24" s="40">
        <f t="shared" si="12"/>
        <v>1229873.86542487</v>
      </c>
      <c r="K24" s="40">
        <f t="shared" si="12"/>
        <v>1266770.0813876162</v>
      </c>
      <c r="L24" s="40">
        <f t="shared" si="12"/>
        <v>1304773.1838292447</v>
      </c>
      <c r="M24" s="40">
        <f t="shared" si="12"/>
        <v>1343916.3793441223</v>
      </c>
      <c r="N24" s="40">
        <f t="shared" si="12"/>
        <v>1384233.8707244459</v>
      </c>
      <c r="O24" s="40">
        <f t="shared" si="12"/>
        <v>1425760.8868461794</v>
      </c>
      <c r="P24" s="40">
        <f t="shared" si="10"/>
        <v>14617790.448385479</v>
      </c>
    </row>
    <row r="25" spans="2:16" ht="17.5" customHeight="1" x14ac:dyDescent="0.35">
      <c r="B25" s="6" t="str">
        <f>+B16</f>
        <v>Individual</v>
      </c>
      <c r="C25" s="40">
        <f t="shared" ref="C25" si="13">+C16*$C$8</f>
        <v>50000</v>
      </c>
      <c r="D25" s="40">
        <f t="shared" ref="D25:O25" si="14">+D16*$C$8</f>
        <v>51500</v>
      </c>
      <c r="E25" s="40">
        <f t="shared" si="14"/>
        <v>53045</v>
      </c>
      <c r="F25" s="40">
        <f t="shared" si="14"/>
        <v>54636.35</v>
      </c>
      <c r="G25" s="40">
        <f t="shared" si="14"/>
        <v>56275.440500000004</v>
      </c>
      <c r="H25" s="40">
        <f t="shared" si="14"/>
        <v>57963.703715000003</v>
      </c>
      <c r="I25" s="40">
        <f t="shared" si="14"/>
        <v>59702.614826450001</v>
      </c>
      <c r="J25" s="40">
        <f t="shared" si="14"/>
        <v>61493.693271243501</v>
      </c>
      <c r="K25" s="40">
        <f t="shared" si="14"/>
        <v>63338.504069380811</v>
      </c>
      <c r="L25" s="40">
        <f t="shared" si="14"/>
        <v>65238.659191462233</v>
      </c>
      <c r="M25" s="40">
        <f t="shared" si="14"/>
        <v>67195.818967206113</v>
      </c>
      <c r="N25" s="40">
        <f t="shared" si="14"/>
        <v>69211.693536222301</v>
      </c>
      <c r="O25" s="40">
        <f t="shared" si="14"/>
        <v>71288.04434230896</v>
      </c>
      <c r="P25" s="40">
        <f t="shared" si="10"/>
        <v>730889.52241927397</v>
      </c>
    </row>
    <row r="26" spans="2:16" ht="17.5" customHeight="1" x14ac:dyDescent="0.35">
      <c r="B26" s="6" t="str">
        <f>+B17</f>
        <v>Other</v>
      </c>
      <c r="C26" s="41">
        <f t="shared" ref="C26" si="15">+C17*$C$9</f>
        <v>50000</v>
      </c>
      <c r="D26" s="41">
        <f t="shared" ref="D26:O26" si="16">+D17*$C$9</f>
        <v>51500</v>
      </c>
      <c r="E26" s="41">
        <f t="shared" si="16"/>
        <v>53045</v>
      </c>
      <c r="F26" s="41">
        <f t="shared" si="16"/>
        <v>54636.35</v>
      </c>
      <c r="G26" s="41">
        <f t="shared" si="16"/>
        <v>56275.440500000004</v>
      </c>
      <c r="H26" s="41">
        <f t="shared" si="16"/>
        <v>57963.703715000003</v>
      </c>
      <c r="I26" s="41">
        <f t="shared" si="16"/>
        <v>59702.614826450001</v>
      </c>
      <c r="J26" s="41">
        <f t="shared" si="16"/>
        <v>61493.693271243501</v>
      </c>
      <c r="K26" s="41">
        <f t="shared" si="16"/>
        <v>63338.504069380811</v>
      </c>
      <c r="L26" s="41">
        <f t="shared" si="16"/>
        <v>65238.659191462233</v>
      </c>
      <c r="M26" s="41">
        <f t="shared" si="16"/>
        <v>67195.818967206113</v>
      </c>
      <c r="N26" s="41">
        <f t="shared" si="16"/>
        <v>69211.693536222301</v>
      </c>
      <c r="O26" s="41">
        <f t="shared" si="16"/>
        <v>71288.04434230896</v>
      </c>
      <c r="P26" s="41">
        <f t="shared" si="10"/>
        <v>730889.52241927397</v>
      </c>
    </row>
    <row r="27" spans="2:16" ht="17.5" customHeight="1" x14ac:dyDescent="0.4">
      <c r="B27" s="4" t="s">
        <v>21</v>
      </c>
      <c r="C27" s="37">
        <f>SUM(C22:C26)</f>
        <v>5100000</v>
      </c>
      <c r="D27" s="37">
        <f>SUM(D22:D26)</f>
        <v>5253000</v>
      </c>
      <c r="E27" s="37">
        <f t="shared" ref="E27:P27" si="17">SUM(E22:E26)</f>
        <v>5410590</v>
      </c>
      <c r="F27" s="37">
        <f t="shared" si="17"/>
        <v>5572907.6999999993</v>
      </c>
      <c r="G27" s="37">
        <f t="shared" si="17"/>
        <v>5740094.9309999999</v>
      </c>
      <c r="H27" s="37">
        <f t="shared" si="17"/>
        <v>5912297.778930001</v>
      </c>
      <c r="I27" s="37">
        <f t="shared" si="17"/>
        <v>6089666.7122979015</v>
      </c>
      <c r="J27" s="37">
        <f t="shared" si="17"/>
        <v>6272356.7136668377</v>
      </c>
      <c r="K27" s="37">
        <f t="shared" si="17"/>
        <v>6460527.4150768425</v>
      </c>
      <c r="L27" s="37">
        <f t="shared" si="17"/>
        <v>6654343.2375291474</v>
      </c>
      <c r="M27" s="37">
        <f t="shared" si="17"/>
        <v>6853973.5346550234</v>
      </c>
      <c r="N27" s="37">
        <f t="shared" si="17"/>
        <v>7059592.7406946737</v>
      </c>
      <c r="O27" s="37">
        <f t="shared" si="17"/>
        <v>7271380.5229155142</v>
      </c>
      <c r="P27" s="37">
        <f t="shared" si="17"/>
        <v>74550731.286765948</v>
      </c>
    </row>
    <row r="28" spans="2:16" ht="17.5" customHeight="1" x14ac:dyDescent="0.35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2:16" ht="17.5" customHeight="1" x14ac:dyDescent="0.4">
      <c r="B29" s="4" t="s">
        <v>23</v>
      </c>
      <c r="C29" s="3"/>
      <c r="D29" s="21">
        <f>D21</f>
        <v>45292</v>
      </c>
      <c r="E29" s="21">
        <f>E21</f>
        <v>45323</v>
      </c>
      <c r="F29" s="21">
        <f t="shared" ref="F29:O29" si="18">F21</f>
        <v>45354</v>
      </c>
      <c r="G29" s="21">
        <f t="shared" si="18"/>
        <v>45385</v>
      </c>
      <c r="H29" s="21">
        <f t="shared" si="18"/>
        <v>45416</v>
      </c>
      <c r="I29" s="21">
        <f t="shared" si="18"/>
        <v>45447</v>
      </c>
      <c r="J29" s="21">
        <f t="shared" si="18"/>
        <v>45478</v>
      </c>
      <c r="K29" s="21">
        <f t="shared" si="18"/>
        <v>45509</v>
      </c>
      <c r="L29" s="21">
        <f t="shared" si="18"/>
        <v>45540</v>
      </c>
      <c r="M29" s="21">
        <f t="shared" si="18"/>
        <v>45571</v>
      </c>
      <c r="N29" s="21">
        <f t="shared" si="18"/>
        <v>45602</v>
      </c>
      <c r="O29" s="21">
        <f t="shared" si="18"/>
        <v>45633</v>
      </c>
      <c r="P29" s="22" t="s">
        <v>16</v>
      </c>
    </row>
    <row r="30" spans="2:16" ht="17.5" customHeight="1" x14ac:dyDescent="0.35">
      <c r="B30" s="6" t="str">
        <f>+B22</f>
        <v>Large Corporate</v>
      </c>
      <c r="C30" s="3"/>
      <c r="D30" s="40">
        <f>D22-C22</f>
        <v>75000</v>
      </c>
      <c r="E30" s="40">
        <f>E22-D22</f>
        <v>77250</v>
      </c>
      <c r="F30" s="40">
        <f t="shared" ref="F30:O30" si="19">F22-E22</f>
        <v>79567.5</v>
      </c>
      <c r="G30" s="40">
        <f t="shared" si="19"/>
        <v>81954.524999999907</v>
      </c>
      <c r="H30" s="40">
        <f t="shared" si="19"/>
        <v>84413.160750000272</v>
      </c>
      <c r="I30" s="40">
        <f t="shared" si="19"/>
        <v>86945.555572499987</v>
      </c>
      <c r="J30" s="40">
        <f t="shared" si="19"/>
        <v>89553.922239674721</v>
      </c>
      <c r="K30" s="40">
        <f t="shared" si="19"/>
        <v>92240.539906865451</v>
      </c>
      <c r="L30" s="40">
        <f t="shared" si="19"/>
        <v>95007.756104071159</v>
      </c>
      <c r="M30" s="40">
        <f t="shared" si="19"/>
        <v>97857.988787193783</v>
      </c>
      <c r="N30" s="40">
        <f t="shared" si="19"/>
        <v>100793.72845080961</v>
      </c>
      <c r="O30" s="40">
        <f t="shared" si="19"/>
        <v>103817.54030433344</v>
      </c>
      <c r="P30" s="40">
        <f>SUM(D30:O30)</f>
        <v>1064402.2171154483</v>
      </c>
    </row>
    <row r="31" spans="2:16" ht="17.5" customHeight="1" x14ac:dyDescent="0.35">
      <c r="B31" s="6" t="str">
        <f t="shared" ref="B31:B34" si="20">+B23</f>
        <v>Medium Corporate</v>
      </c>
      <c r="C31" s="3"/>
      <c r="D31" s="40">
        <f t="shared" ref="D31:O34" si="21">D23-C23</f>
        <v>45000</v>
      </c>
      <c r="E31" s="40">
        <f t="shared" si="21"/>
        <v>46350</v>
      </c>
      <c r="F31" s="40">
        <f t="shared" si="21"/>
        <v>47740.5</v>
      </c>
      <c r="G31" s="40">
        <f t="shared" si="21"/>
        <v>49172.715000000084</v>
      </c>
      <c r="H31" s="40">
        <f t="shared" si="21"/>
        <v>50647.896449999884</v>
      </c>
      <c r="I31" s="40">
        <f t="shared" si="21"/>
        <v>52167.333343500039</v>
      </c>
      <c r="J31" s="40">
        <f t="shared" si="21"/>
        <v>53732.353343805065</v>
      </c>
      <c r="K31" s="40">
        <f t="shared" si="21"/>
        <v>55344.323944119271</v>
      </c>
      <c r="L31" s="40">
        <f t="shared" si="21"/>
        <v>57004.653662442695</v>
      </c>
      <c r="M31" s="40">
        <f t="shared" si="21"/>
        <v>58714.793272316223</v>
      </c>
      <c r="N31" s="40">
        <f t="shared" si="21"/>
        <v>60476.237070485717</v>
      </c>
      <c r="O31" s="40">
        <f t="shared" si="21"/>
        <v>62290.524182599736</v>
      </c>
      <c r="P31" s="40">
        <f t="shared" ref="P31:P35" si="22">SUM(D31:O31)</f>
        <v>638641.33026926871</v>
      </c>
    </row>
    <row r="32" spans="2:16" ht="17.5" customHeight="1" x14ac:dyDescent="0.35">
      <c r="B32" s="6" t="str">
        <f t="shared" si="20"/>
        <v>SMEs</v>
      </c>
      <c r="C32" s="3"/>
      <c r="D32" s="40">
        <f t="shared" si="21"/>
        <v>30000</v>
      </c>
      <c r="E32" s="40">
        <f t="shared" si="21"/>
        <v>30900</v>
      </c>
      <c r="F32" s="40">
        <f t="shared" si="21"/>
        <v>31827</v>
      </c>
      <c r="G32" s="40">
        <f t="shared" si="21"/>
        <v>32781.810000000056</v>
      </c>
      <c r="H32" s="40">
        <f t="shared" si="21"/>
        <v>33765.264299999923</v>
      </c>
      <c r="I32" s="40">
        <f t="shared" si="21"/>
        <v>34778.222229000181</v>
      </c>
      <c r="J32" s="40">
        <f t="shared" si="21"/>
        <v>35821.568895869888</v>
      </c>
      <c r="K32" s="40">
        <f t="shared" si="21"/>
        <v>36896.215962746181</v>
      </c>
      <c r="L32" s="40">
        <f t="shared" si="21"/>
        <v>38003.102441628464</v>
      </c>
      <c r="M32" s="40">
        <f t="shared" si="21"/>
        <v>39143.19551487756</v>
      </c>
      <c r="N32" s="40">
        <f t="shared" si="21"/>
        <v>40317.491380323656</v>
      </c>
      <c r="O32" s="40">
        <f t="shared" si="21"/>
        <v>41527.016121733468</v>
      </c>
      <c r="P32" s="40">
        <f t="shared" si="22"/>
        <v>425760.88684617938</v>
      </c>
    </row>
    <row r="33" spans="2:16" ht="17.5" customHeight="1" x14ac:dyDescent="0.35">
      <c r="B33" s="6" t="str">
        <f t="shared" si="20"/>
        <v>Individual</v>
      </c>
      <c r="C33" s="3"/>
      <c r="D33" s="40">
        <f t="shared" si="21"/>
        <v>1500</v>
      </c>
      <c r="E33" s="40">
        <f t="shared" si="21"/>
        <v>1545</v>
      </c>
      <c r="F33" s="40">
        <f t="shared" si="21"/>
        <v>1591.3499999999985</v>
      </c>
      <c r="G33" s="40">
        <f t="shared" si="21"/>
        <v>1639.0905000000057</v>
      </c>
      <c r="H33" s="40">
        <f t="shared" si="21"/>
        <v>1688.263214999999</v>
      </c>
      <c r="I33" s="40">
        <f t="shared" si="21"/>
        <v>1738.9111114499974</v>
      </c>
      <c r="J33" s="40">
        <f t="shared" si="21"/>
        <v>1791.0784447935002</v>
      </c>
      <c r="K33" s="40">
        <f t="shared" si="21"/>
        <v>1844.8107981373105</v>
      </c>
      <c r="L33" s="40">
        <f t="shared" si="21"/>
        <v>1900.1551220814217</v>
      </c>
      <c r="M33" s="40">
        <f t="shared" si="21"/>
        <v>1957.1597757438794</v>
      </c>
      <c r="N33" s="40">
        <f t="shared" si="21"/>
        <v>2015.8745690161886</v>
      </c>
      <c r="O33" s="40">
        <f t="shared" si="21"/>
        <v>2076.3508060866588</v>
      </c>
      <c r="P33" s="40">
        <f t="shared" si="22"/>
        <v>21288.04434230896</v>
      </c>
    </row>
    <row r="34" spans="2:16" ht="17.5" customHeight="1" x14ac:dyDescent="0.35">
      <c r="B34" s="6" t="str">
        <f t="shared" si="20"/>
        <v>Other</v>
      </c>
      <c r="C34" s="3"/>
      <c r="D34" s="41">
        <f t="shared" si="21"/>
        <v>1500</v>
      </c>
      <c r="E34" s="41">
        <f t="shared" si="21"/>
        <v>1545</v>
      </c>
      <c r="F34" s="41">
        <f t="shared" si="21"/>
        <v>1591.3499999999985</v>
      </c>
      <c r="G34" s="41">
        <f t="shared" si="21"/>
        <v>1639.0905000000057</v>
      </c>
      <c r="H34" s="41">
        <f t="shared" si="21"/>
        <v>1688.263214999999</v>
      </c>
      <c r="I34" s="41">
        <f t="shared" si="21"/>
        <v>1738.9111114499974</v>
      </c>
      <c r="J34" s="41">
        <f t="shared" si="21"/>
        <v>1791.0784447935002</v>
      </c>
      <c r="K34" s="41">
        <f t="shared" si="21"/>
        <v>1844.8107981373105</v>
      </c>
      <c r="L34" s="41">
        <f t="shared" si="21"/>
        <v>1900.1551220814217</v>
      </c>
      <c r="M34" s="41">
        <f t="shared" si="21"/>
        <v>1957.1597757438794</v>
      </c>
      <c r="N34" s="41">
        <f t="shared" si="21"/>
        <v>2015.8745690161886</v>
      </c>
      <c r="O34" s="41">
        <f t="shared" si="21"/>
        <v>2076.3508060866588</v>
      </c>
      <c r="P34" s="41">
        <f t="shared" si="22"/>
        <v>21288.04434230896</v>
      </c>
    </row>
    <row r="35" spans="2:16" ht="17.5" customHeight="1" x14ac:dyDescent="0.4">
      <c r="B35" s="4" t="s">
        <v>22</v>
      </c>
      <c r="C35" s="3"/>
      <c r="D35" s="37">
        <f>SUM(D30:D34)</f>
        <v>153000</v>
      </c>
      <c r="E35" s="37">
        <f>SUM(E30:E34)</f>
        <v>157590</v>
      </c>
      <c r="F35" s="37">
        <f t="shared" ref="F35:O35" si="23">SUM(F30:F34)</f>
        <v>162317.70000000001</v>
      </c>
      <c r="G35" s="37">
        <f t="shared" si="23"/>
        <v>167187.23100000003</v>
      </c>
      <c r="H35" s="37">
        <f t="shared" si="23"/>
        <v>172202.84793000005</v>
      </c>
      <c r="I35" s="37">
        <f t="shared" si="23"/>
        <v>177368.9333679002</v>
      </c>
      <c r="J35" s="37">
        <f t="shared" si="23"/>
        <v>182690.00136893668</v>
      </c>
      <c r="K35" s="37">
        <f t="shared" si="23"/>
        <v>188170.70141000551</v>
      </c>
      <c r="L35" s="37">
        <f t="shared" si="23"/>
        <v>193815.82245230518</v>
      </c>
      <c r="M35" s="37">
        <f t="shared" si="23"/>
        <v>199630.29712587531</v>
      </c>
      <c r="N35" s="37">
        <f t="shared" si="23"/>
        <v>205619.20603965136</v>
      </c>
      <c r="O35" s="37">
        <f t="shared" si="23"/>
        <v>211787.78222083999</v>
      </c>
      <c r="P35" s="37">
        <f t="shared" si="22"/>
        <v>2171380.5229155142</v>
      </c>
    </row>
    <row r="36" spans="2:16" ht="18" customHeight="1" x14ac:dyDescent="0.4">
      <c r="B36" s="4"/>
    </row>
  </sheetData>
  <mergeCells count="3">
    <mergeCell ref="B2:P2"/>
    <mergeCell ref="B3:P3"/>
    <mergeCell ref="B20:P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E71D-A738-454E-9B53-7B024E9C506A}">
  <dimension ref="A1:AD69"/>
  <sheetViews>
    <sheetView showGridLines="0" zoomScaleNormal="100" workbookViewId="0">
      <pane ySplit="2" topLeftCell="A3" activePane="bottomLeft" state="frozen"/>
      <selection pane="bottomLeft" activeCell="B2" sqref="B2:P2"/>
    </sheetView>
  </sheetViews>
  <sheetFormatPr defaultColWidth="10.81640625" defaultRowHeight="14.5" x14ac:dyDescent="0.35"/>
  <cols>
    <col min="1" max="1" width="3" style="1" customWidth="1"/>
    <col min="2" max="2" width="45" customWidth="1"/>
    <col min="3" max="3" width="21.81640625" customWidth="1"/>
    <col min="4" max="16" width="16.6328125" customWidth="1"/>
  </cols>
  <sheetData>
    <row r="1" spans="2:16" ht="5" customHeight="1" x14ac:dyDescent="0.35"/>
    <row r="2" spans="2:16" ht="25" customHeight="1" x14ac:dyDescent="0.35">
      <c r="B2" s="75" t="s">
        <v>11</v>
      </c>
      <c r="C2" s="76"/>
      <c r="D2" s="76"/>
      <c r="E2" s="76"/>
      <c r="F2" s="76"/>
      <c r="G2" s="76"/>
      <c r="H2" s="76"/>
      <c r="I2" s="77"/>
      <c r="J2" s="77"/>
      <c r="K2" s="77"/>
      <c r="L2" s="77"/>
      <c r="M2" s="77"/>
      <c r="N2" s="77"/>
      <c r="O2" s="77"/>
      <c r="P2" s="77"/>
    </row>
    <row r="3" spans="2:16" ht="17.5" customHeight="1" x14ac:dyDescent="0.35">
      <c r="B3" s="78" t="s">
        <v>20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2:16" ht="17.5" customHeight="1" x14ac:dyDescent="0.4">
      <c r="B4" s="4" t="s">
        <v>147</v>
      </c>
      <c r="C4" s="21" t="s">
        <v>70</v>
      </c>
      <c r="D4" s="21">
        <f>Revenue!D12</f>
        <v>45292</v>
      </c>
      <c r="E4" s="21">
        <f>Revenue!E12</f>
        <v>45323</v>
      </c>
      <c r="F4" s="21">
        <f>Revenue!F12</f>
        <v>45354</v>
      </c>
      <c r="G4" s="21">
        <f>Revenue!G12</f>
        <v>45385</v>
      </c>
      <c r="H4" s="21">
        <f>Revenue!H12</f>
        <v>45416</v>
      </c>
      <c r="I4" s="21">
        <f>Revenue!I12</f>
        <v>45447</v>
      </c>
      <c r="J4" s="21">
        <f>Revenue!J12</f>
        <v>45478</v>
      </c>
      <c r="K4" s="21">
        <f>Revenue!K12</f>
        <v>45509</v>
      </c>
      <c r="L4" s="21">
        <f>Revenue!L12</f>
        <v>45540</v>
      </c>
      <c r="M4" s="21">
        <f>Revenue!M12</f>
        <v>45571</v>
      </c>
      <c r="N4" s="21">
        <f>Revenue!N12</f>
        <v>45602</v>
      </c>
      <c r="O4" s="21">
        <f>Revenue!O12</f>
        <v>45633</v>
      </c>
      <c r="P4" s="21" t="s">
        <v>25</v>
      </c>
    </row>
    <row r="5" spans="2:16" ht="17.5" customHeight="1" x14ac:dyDescent="0.35">
      <c r="B5" s="3" t="s">
        <v>95</v>
      </c>
      <c r="C5" s="28">
        <v>1</v>
      </c>
      <c r="D5" s="50">
        <f>C5</f>
        <v>1</v>
      </c>
      <c r="E5" s="50">
        <f t="shared" ref="E5:O5" si="0">D5</f>
        <v>1</v>
      </c>
      <c r="F5" s="50">
        <f t="shared" si="0"/>
        <v>1</v>
      </c>
      <c r="G5" s="50">
        <f t="shared" si="0"/>
        <v>1</v>
      </c>
      <c r="H5" s="50">
        <f t="shared" si="0"/>
        <v>1</v>
      </c>
      <c r="I5" s="50">
        <f t="shared" si="0"/>
        <v>1</v>
      </c>
      <c r="J5" s="50">
        <f t="shared" si="0"/>
        <v>1</v>
      </c>
      <c r="K5" s="50">
        <f t="shared" si="0"/>
        <v>1</v>
      </c>
      <c r="L5" s="50">
        <f t="shared" si="0"/>
        <v>1</v>
      </c>
      <c r="M5" s="50">
        <f t="shared" si="0"/>
        <v>1</v>
      </c>
      <c r="N5" s="50">
        <f t="shared" si="0"/>
        <v>1</v>
      </c>
      <c r="O5" s="50">
        <f t="shared" si="0"/>
        <v>1</v>
      </c>
      <c r="P5" s="50">
        <f>O5-C5</f>
        <v>0</v>
      </c>
    </row>
    <row r="6" spans="2:16" ht="17.5" customHeight="1" x14ac:dyDescent="0.35">
      <c r="B6" s="3" t="s">
        <v>148</v>
      </c>
      <c r="C6" s="28">
        <v>21</v>
      </c>
      <c r="D6" s="23">
        <f>C6</f>
        <v>21</v>
      </c>
      <c r="E6" s="28">
        <f>D6+1</f>
        <v>22</v>
      </c>
      <c r="F6" s="23">
        <f>E6</f>
        <v>22</v>
      </c>
      <c r="G6" s="28">
        <f>F6+1</f>
        <v>23</v>
      </c>
      <c r="H6" s="23">
        <f>G6</f>
        <v>23</v>
      </c>
      <c r="I6" s="28">
        <f>H6+1</f>
        <v>24</v>
      </c>
      <c r="J6" s="23">
        <f>I6</f>
        <v>24</v>
      </c>
      <c r="K6" s="28">
        <f>J6+1</f>
        <v>25</v>
      </c>
      <c r="L6" s="23">
        <f>K6</f>
        <v>25</v>
      </c>
      <c r="M6" s="28">
        <f>L6+1</f>
        <v>26</v>
      </c>
      <c r="N6" s="23">
        <f>M6</f>
        <v>26</v>
      </c>
      <c r="O6" s="28">
        <f>N6+1</f>
        <v>27</v>
      </c>
      <c r="P6" s="50">
        <f t="shared" ref="P6:P8" si="1">O6-C6</f>
        <v>6</v>
      </c>
    </row>
    <row r="7" spans="2:16" ht="17.5" x14ac:dyDescent="0.35">
      <c r="B7" s="3" t="s">
        <v>149</v>
      </c>
      <c r="C7" s="28">
        <v>22</v>
      </c>
      <c r="D7" s="23">
        <f t="shared" ref="D7:D8" si="2">C7</f>
        <v>22</v>
      </c>
      <c r="E7" s="28">
        <f>D7+1</f>
        <v>23</v>
      </c>
      <c r="F7" s="23">
        <f>E7</f>
        <v>23</v>
      </c>
      <c r="G7" s="28">
        <f>F7+1</f>
        <v>24</v>
      </c>
      <c r="H7" s="23">
        <f>G7</f>
        <v>24</v>
      </c>
      <c r="I7" s="28">
        <f>H7+1</f>
        <v>25</v>
      </c>
      <c r="J7" s="23">
        <f>I7</f>
        <v>25</v>
      </c>
      <c r="K7" s="28">
        <f>J7+1</f>
        <v>26</v>
      </c>
      <c r="L7" s="23">
        <f>K7</f>
        <v>26</v>
      </c>
      <c r="M7" s="28">
        <f>L7+1</f>
        <v>27</v>
      </c>
      <c r="N7" s="23">
        <f>M7</f>
        <v>27</v>
      </c>
      <c r="O7" s="28">
        <f>N7+1</f>
        <v>28</v>
      </c>
      <c r="P7" s="50">
        <f t="shared" si="1"/>
        <v>6</v>
      </c>
    </row>
    <row r="8" spans="2:16" ht="17.5" x14ac:dyDescent="0.35">
      <c r="B8" s="3" t="s">
        <v>150</v>
      </c>
      <c r="C8" s="29">
        <v>3</v>
      </c>
      <c r="D8" s="24">
        <f t="shared" si="2"/>
        <v>3</v>
      </c>
      <c r="E8" s="70">
        <f t="shared" ref="E8:O8" si="3">D8</f>
        <v>3</v>
      </c>
      <c r="F8" s="70">
        <f t="shared" si="3"/>
        <v>3</v>
      </c>
      <c r="G8" s="70">
        <f t="shared" si="3"/>
        <v>3</v>
      </c>
      <c r="H8" s="70">
        <f t="shared" si="3"/>
        <v>3</v>
      </c>
      <c r="I8" s="70">
        <f t="shared" si="3"/>
        <v>3</v>
      </c>
      <c r="J8" s="70">
        <f t="shared" si="3"/>
        <v>3</v>
      </c>
      <c r="K8" s="70">
        <f t="shared" si="3"/>
        <v>3</v>
      </c>
      <c r="L8" s="70">
        <f t="shared" si="3"/>
        <v>3</v>
      </c>
      <c r="M8" s="70">
        <f t="shared" si="3"/>
        <v>3</v>
      </c>
      <c r="N8" s="70">
        <f t="shared" si="3"/>
        <v>3</v>
      </c>
      <c r="O8" s="70">
        <f t="shared" si="3"/>
        <v>3</v>
      </c>
      <c r="P8" s="70">
        <f t="shared" si="1"/>
        <v>0</v>
      </c>
    </row>
    <row r="9" spans="2:16" ht="18" x14ac:dyDescent="0.4">
      <c r="B9" s="71" t="s">
        <v>139</v>
      </c>
      <c r="C9" s="25">
        <f>SUM(C5:C8)</f>
        <v>47</v>
      </c>
      <c r="D9" s="25">
        <f t="shared" ref="D9:P9" si="4">SUM(D5:D8)</f>
        <v>47</v>
      </c>
      <c r="E9" s="25">
        <f t="shared" si="4"/>
        <v>49</v>
      </c>
      <c r="F9" s="25">
        <f t="shared" si="4"/>
        <v>49</v>
      </c>
      <c r="G9" s="25">
        <f t="shared" si="4"/>
        <v>51</v>
      </c>
      <c r="H9" s="25">
        <f t="shared" si="4"/>
        <v>51</v>
      </c>
      <c r="I9" s="25">
        <f t="shared" si="4"/>
        <v>53</v>
      </c>
      <c r="J9" s="25">
        <f t="shared" si="4"/>
        <v>53</v>
      </c>
      <c r="K9" s="25">
        <f t="shared" si="4"/>
        <v>55</v>
      </c>
      <c r="L9" s="25">
        <f t="shared" si="4"/>
        <v>55</v>
      </c>
      <c r="M9" s="25">
        <f t="shared" si="4"/>
        <v>57</v>
      </c>
      <c r="N9" s="25">
        <f t="shared" si="4"/>
        <v>57</v>
      </c>
      <c r="O9" s="25">
        <f t="shared" si="4"/>
        <v>59</v>
      </c>
      <c r="P9" s="25">
        <f t="shared" si="4"/>
        <v>12</v>
      </c>
    </row>
    <row r="10" spans="2:16" ht="18" x14ac:dyDescent="0.4">
      <c r="B10" s="72" t="s">
        <v>24</v>
      </c>
      <c r="C10" s="25"/>
      <c r="D10" s="23">
        <f t="shared" ref="D10:O10" si="5">+D9-C9</f>
        <v>0</v>
      </c>
      <c r="E10" s="23">
        <f t="shared" si="5"/>
        <v>2</v>
      </c>
      <c r="F10" s="23">
        <f t="shared" si="5"/>
        <v>0</v>
      </c>
      <c r="G10" s="23">
        <f t="shared" si="5"/>
        <v>2</v>
      </c>
      <c r="H10" s="23">
        <f t="shared" si="5"/>
        <v>0</v>
      </c>
      <c r="I10" s="23">
        <f t="shared" si="5"/>
        <v>2</v>
      </c>
      <c r="J10" s="23">
        <f t="shared" si="5"/>
        <v>0</v>
      </c>
      <c r="K10" s="23">
        <f t="shared" si="5"/>
        <v>2</v>
      </c>
      <c r="L10" s="23">
        <f t="shared" si="5"/>
        <v>0</v>
      </c>
      <c r="M10" s="23">
        <f t="shared" si="5"/>
        <v>2</v>
      </c>
      <c r="N10" s="23">
        <f t="shared" si="5"/>
        <v>0</v>
      </c>
      <c r="O10" s="23">
        <f t="shared" si="5"/>
        <v>2</v>
      </c>
      <c r="P10" s="23"/>
    </row>
    <row r="11" spans="2:16" ht="18" x14ac:dyDescent="0.4">
      <c r="B11" s="72"/>
      <c r="C11" s="25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5"/>
    </row>
    <row r="12" spans="2:16" ht="18" x14ac:dyDescent="0.4">
      <c r="B12" s="4" t="s">
        <v>40</v>
      </c>
      <c r="C12" s="34" t="s">
        <v>41</v>
      </c>
      <c r="D12" s="35" t="s">
        <v>42</v>
      </c>
      <c r="E12" s="35" t="s">
        <v>129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5"/>
    </row>
    <row r="13" spans="2:16" ht="18" x14ac:dyDescent="0.4">
      <c r="B13" s="3" t="s">
        <v>95</v>
      </c>
      <c r="C13" s="2">
        <v>150000</v>
      </c>
      <c r="D13" s="31">
        <v>0.5</v>
      </c>
      <c r="E13" s="35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5"/>
    </row>
    <row r="14" spans="2:16" ht="18" x14ac:dyDescent="0.4">
      <c r="B14" s="3" t="s">
        <v>148</v>
      </c>
      <c r="C14" s="2">
        <v>50000</v>
      </c>
      <c r="D14" s="8"/>
      <c r="E14" s="31">
        <v>0.15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5"/>
    </row>
    <row r="15" spans="2:16" ht="18" x14ac:dyDescent="0.4">
      <c r="B15" s="3" t="s">
        <v>149</v>
      </c>
      <c r="C15" s="2">
        <v>40000</v>
      </c>
      <c r="D15" s="8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5"/>
    </row>
    <row r="16" spans="2:16" ht="18" x14ac:dyDescent="0.4">
      <c r="B16" s="3" t="s">
        <v>150</v>
      </c>
      <c r="C16" s="2">
        <v>30000</v>
      </c>
      <c r="D16" s="31">
        <v>0.05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5"/>
    </row>
    <row r="17" spans="2:30" ht="18" x14ac:dyDescent="0.4">
      <c r="B17" s="3"/>
      <c r="C17" s="2"/>
      <c r="D17" s="31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5"/>
    </row>
    <row r="18" spans="2:30" ht="18" x14ac:dyDescent="0.4">
      <c r="B18" s="3" t="s">
        <v>151</v>
      </c>
      <c r="C18" s="31">
        <f>1/52*4.33333333333333</f>
        <v>8.3333333333333287E-2</v>
      </c>
      <c r="D18" s="31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5"/>
    </row>
    <row r="19" spans="2:30" ht="18" x14ac:dyDescent="0.4">
      <c r="B19" s="4"/>
      <c r="C19" s="3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2:30" ht="17.5" customHeight="1" x14ac:dyDescent="0.35">
      <c r="B20" s="78" t="s">
        <v>5</v>
      </c>
      <c r="C20" s="76"/>
      <c r="D20" s="76"/>
      <c r="E20" s="76"/>
      <c r="F20" s="76"/>
      <c r="G20" s="76"/>
      <c r="H20" s="76"/>
      <c r="I20" s="77"/>
      <c r="J20" s="77"/>
      <c r="K20" s="77"/>
      <c r="L20" s="77"/>
      <c r="M20" s="77"/>
      <c r="N20" s="77"/>
      <c r="O20" s="77"/>
      <c r="P20" s="77"/>
    </row>
    <row r="21" spans="2:30" ht="18" x14ac:dyDescent="0.4">
      <c r="B21" s="4" t="s">
        <v>96</v>
      </c>
      <c r="C21" s="21" t="s">
        <v>134</v>
      </c>
      <c r="D21" s="21">
        <f>+D4</f>
        <v>45292</v>
      </c>
      <c r="E21" s="21">
        <f t="shared" ref="E21:P21" si="6">+E4</f>
        <v>45323</v>
      </c>
      <c r="F21" s="21">
        <f t="shared" si="6"/>
        <v>45354</v>
      </c>
      <c r="G21" s="21">
        <f t="shared" si="6"/>
        <v>45385</v>
      </c>
      <c r="H21" s="21">
        <f t="shared" si="6"/>
        <v>45416</v>
      </c>
      <c r="I21" s="21">
        <f t="shared" si="6"/>
        <v>45447</v>
      </c>
      <c r="J21" s="21">
        <f t="shared" si="6"/>
        <v>45478</v>
      </c>
      <c r="K21" s="21">
        <f t="shared" si="6"/>
        <v>45509</v>
      </c>
      <c r="L21" s="21">
        <f t="shared" si="6"/>
        <v>45540</v>
      </c>
      <c r="M21" s="21">
        <f t="shared" si="6"/>
        <v>45571</v>
      </c>
      <c r="N21" s="21">
        <f t="shared" si="6"/>
        <v>45602</v>
      </c>
      <c r="O21" s="21">
        <f t="shared" si="6"/>
        <v>45633</v>
      </c>
      <c r="P21" s="21" t="str">
        <f t="shared" si="6"/>
        <v>Change</v>
      </c>
    </row>
    <row r="22" spans="2:30" ht="17.5" x14ac:dyDescent="0.35">
      <c r="B22" s="14" t="s">
        <v>128</v>
      </c>
      <c r="C22" s="26" t="s">
        <v>94</v>
      </c>
      <c r="D22" s="40">
        <f t="shared" ref="D22:O22" si="7">SUMPRODUCT(D5:D8,$C$13:$C$16)*factor</f>
        <v>180833.33333333323</v>
      </c>
      <c r="E22" s="40">
        <f t="shared" si="7"/>
        <v>188333.33333333323</v>
      </c>
      <c r="F22" s="40">
        <f t="shared" si="7"/>
        <v>188333.33333333323</v>
      </c>
      <c r="G22" s="40">
        <f t="shared" si="7"/>
        <v>195833.33333333323</v>
      </c>
      <c r="H22" s="40">
        <f t="shared" si="7"/>
        <v>195833.33333333323</v>
      </c>
      <c r="I22" s="40">
        <f t="shared" si="7"/>
        <v>203333.33333333323</v>
      </c>
      <c r="J22" s="40">
        <f t="shared" si="7"/>
        <v>203333.33333333323</v>
      </c>
      <c r="K22" s="40">
        <f t="shared" si="7"/>
        <v>210833.33333333323</v>
      </c>
      <c r="L22" s="40">
        <f t="shared" si="7"/>
        <v>210833.33333333323</v>
      </c>
      <c r="M22" s="40">
        <f t="shared" si="7"/>
        <v>218333.33333333323</v>
      </c>
      <c r="N22" s="40">
        <f t="shared" si="7"/>
        <v>218333.33333333323</v>
      </c>
      <c r="O22" s="40">
        <f t="shared" si="7"/>
        <v>225833.3333333332</v>
      </c>
      <c r="P22" s="40">
        <f>SUM(D22:O22)</f>
        <v>2439999.9999999986</v>
      </c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2:30" ht="17.5" x14ac:dyDescent="0.35">
      <c r="B23" s="14" t="s">
        <v>42</v>
      </c>
      <c r="C23" s="26" t="s">
        <v>68</v>
      </c>
      <c r="D23" s="40">
        <f>SUMPRODUCT(D5:D8,$C$13:$C$16,D13:D16)</f>
        <v>79500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SUM(D23:O23)</f>
        <v>79500</v>
      </c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2:30" ht="17.5" x14ac:dyDescent="0.35">
      <c r="B24" s="14" t="s">
        <v>129</v>
      </c>
      <c r="C24" s="26" t="s">
        <v>146</v>
      </c>
      <c r="D24" s="40">
        <f>$E$14*Revenue!D35</f>
        <v>22950</v>
      </c>
      <c r="E24" s="40">
        <f>$E$14*Revenue!E35</f>
        <v>23638.5</v>
      </c>
      <c r="F24" s="40">
        <f>$E$14*Revenue!F35</f>
        <v>24347.655000000002</v>
      </c>
      <c r="G24" s="40">
        <f>$E$14*Revenue!G35</f>
        <v>25078.084650000004</v>
      </c>
      <c r="H24" s="40">
        <f>$E$14*Revenue!H35</f>
        <v>25830.427189500006</v>
      </c>
      <c r="I24" s="40">
        <f>$E$14*Revenue!I35</f>
        <v>26605.340005185029</v>
      </c>
      <c r="J24" s="40">
        <f>$E$14*Revenue!J35</f>
        <v>27403.500205340501</v>
      </c>
      <c r="K24" s="40">
        <f>$E$14*Revenue!K35</f>
        <v>28225.605211500824</v>
      </c>
      <c r="L24" s="40">
        <f>$E$14*Revenue!L35</f>
        <v>29072.373367845776</v>
      </c>
      <c r="M24" s="40">
        <f>$E$14*Revenue!M35</f>
        <v>29944.544568881294</v>
      </c>
      <c r="N24" s="40">
        <f>$E$14*Revenue!N35</f>
        <v>30842.880905947703</v>
      </c>
      <c r="O24" s="40">
        <f>$E$14*Revenue!O35</f>
        <v>31768.167333125995</v>
      </c>
      <c r="P24" s="40">
        <f>SUM(D24:O24)</f>
        <v>325707.07843732717</v>
      </c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2:30" ht="17.5" x14ac:dyDescent="0.35">
      <c r="B25" s="14" t="s">
        <v>138</v>
      </c>
      <c r="C25" s="26">
        <v>0.12</v>
      </c>
      <c r="D25" s="41">
        <f>SUM(D22:D24)*$C$25</f>
        <v>33993.999999999993</v>
      </c>
      <c r="E25" s="41">
        <f t="shared" ref="E25:O25" si="8">SUM(E22:E23,E24)*$C$25</f>
        <v>25436.619999999988</v>
      </c>
      <c r="F25" s="41">
        <f t="shared" si="8"/>
        <v>25521.718599999986</v>
      </c>
      <c r="G25" s="41">
        <f t="shared" si="8"/>
        <v>26509.370157999987</v>
      </c>
      <c r="H25" s="41">
        <f t="shared" si="8"/>
        <v>26599.651262739986</v>
      </c>
      <c r="I25" s="41">
        <f t="shared" si="8"/>
        <v>27592.64080062219</v>
      </c>
      <c r="J25" s="41">
        <f t="shared" si="8"/>
        <v>27688.420024640847</v>
      </c>
      <c r="K25" s="41">
        <f t="shared" si="8"/>
        <v>28687.072625380086</v>
      </c>
      <c r="L25" s="41">
        <f t="shared" si="8"/>
        <v>28788.684804141481</v>
      </c>
      <c r="M25" s="41">
        <f t="shared" si="8"/>
        <v>29793.345348265742</v>
      </c>
      <c r="N25" s="41">
        <f t="shared" si="8"/>
        <v>29901.14570871371</v>
      </c>
      <c r="O25" s="41">
        <f t="shared" si="8"/>
        <v>30912.180079975104</v>
      </c>
      <c r="P25" s="41">
        <f>SUM(D25:O25)</f>
        <v>341424.84941247915</v>
      </c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2:30" ht="18" x14ac:dyDescent="0.4">
      <c r="B26" s="4" t="str">
        <f>+"Total "&amp;B21</f>
        <v>Total Payroll</v>
      </c>
      <c r="D26" s="42">
        <f t="shared" ref="D26:P26" si="9">SUM(D22:D25)</f>
        <v>317277.33333333326</v>
      </c>
      <c r="E26" s="42">
        <f t="shared" si="9"/>
        <v>237408.45333333322</v>
      </c>
      <c r="F26" s="42">
        <f t="shared" si="9"/>
        <v>238202.70693333322</v>
      </c>
      <c r="G26" s="42">
        <f t="shared" si="9"/>
        <v>247420.78814133321</v>
      </c>
      <c r="H26" s="42">
        <f t="shared" si="9"/>
        <v>248263.41178557323</v>
      </c>
      <c r="I26" s="42">
        <f t="shared" si="9"/>
        <v>257531.31413914042</v>
      </c>
      <c r="J26" s="42">
        <f t="shared" si="9"/>
        <v>258425.25356331459</v>
      </c>
      <c r="K26" s="42">
        <f t="shared" si="9"/>
        <v>267746.01117021416</v>
      </c>
      <c r="L26" s="42">
        <f t="shared" si="9"/>
        <v>268694.3915053205</v>
      </c>
      <c r="M26" s="42">
        <f t="shared" si="9"/>
        <v>278071.22325048025</v>
      </c>
      <c r="N26" s="42">
        <f t="shared" si="9"/>
        <v>279077.35994799464</v>
      </c>
      <c r="O26" s="42">
        <f t="shared" si="9"/>
        <v>288513.68074643431</v>
      </c>
      <c r="P26" s="42">
        <f t="shared" si="9"/>
        <v>3186631.9278498045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</row>
    <row r="27" spans="2:30" ht="18" x14ac:dyDescent="0.4">
      <c r="B27" s="4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2:30" ht="18" x14ac:dyDescent="0.4">
      <c r="B28" s="4" t="s">
        <v>28</v>
      </c>
      <c r="C28" s="22" t="s">
        <v>13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2:30" ht="17.5" x14ac:dyDescent="0.35">
      <c r="B29" s="44" t="s">
        <v>104</v>
      </c>
      <c r="C29" s="2">
        <v>15000</v>
      </c>
      <c r="D29" s="40">
        <f>$C$29*D9</f>
        <v>705000</v>
      </c>
      <c r="E29" s="40">
        <f t="shared" ref="E29:O29" si="10">$C$29*E10</f>
        <v>30000</v>
      </c>
      <c r="F29" s="40">
        <f t="shared" si="10"/>
        <v>0</v>
      </c>
      <c r="G29" s="40">
        <f t="shared" si="10"/>
        <v>30000</v>
      </c>
      <c r="H29" s="40">
        <f t="shared" si="10"/>
        <v>0</v>
      </c>
      <c r="I29" s="40">
        <f t="shared" si="10"/>
        <v>30000</v>
      </c>
      <c r="J29" s="40">
        <f t="shared" si="10"/>
        <v>0</v>
      </c>
      <c r="K29" s="40">
        <f t="shared" si="10"/>
        <v>30000</v>
      </c>
      <c r="L29" s="40">
        <f t="shared" si="10"/>
        <v>0</v>
      </c>
      <c r="M29" s="40">
        <f t="shared" si="10"/>
        <v>30000</v>
      </c>
      <c r="N29" s="40">
        <f t="shared" si="10"/>
        <v>0</v>
      </c>
      <c r="O29" s="40">
        <f t="shared" si="10"/>
        <v>30000</v>
      </c>
      <c r="P29" s="40">
        <f>SUM(D29:O29)</f>
        <v>885000</v>
      </c>
    </row>
    <row r="30" spans="2:30" ht="17.5" x14ac:dyDescent="0.35">
      <c r="B30" s="44" t="s">
        <v>34</v>
      </c>
      <c r="C30" s="26">
        <v>4.7E-2</v>
      </c>
      <c r="D30" s="40">
        <f>SUM(D22:D24)*$C$30</f>
        <v>13314.316666666664</v>
      </c>
      <c r="E30" s="40">
        <f t="shared" ref="E30:O30" si="11">SUM(E22:E24)*$C$30</f>
        <v>9962.6761666666625</v>
      </c>
      <c r="F30" s="40">
        <f t="shared" si="11"/>
        <v>9996.0064516666607</v>
      </c>
      <c r="G30" s="40">
        <f t="shared" si="11"/>
        <v>10382.836645216661</v>
      </c>
      <c r="H30" s="40">
        <f t="shared" si="11"/>
        <v>10418.196744573163</v>
      </c>
      <c r="I30" s="40">
        <f t="shared" si="11"/>
        <v>10807.117646910358</v>
      </c>
      <c r="J30" s="40">
        <f t="shared" si="11"/>
        <v>10844.631176317665</v>
      </c>
      <c r="K30" s="40">
        <f t="shared" si="11"/>
        <v>11235.7701116072</v>
      </c>
      <c r="L30" s="40">
        <f t="shared" si="11"/>
        <v>11275.568214955414</v>
      </c>
      <c r="M30" s="40">
        <f t="shared" si="11"/>
        <v>11669.060261404084</v>
      </c>
      <c r="N30" s="40">
        <f t="shared" si="11"/>
        <v>11711.282069246205</v>
      </c>
      <c r="O30" s="40">
        <f t="shared" si="11"/>
        <v>12107.270531323582</v>
      </c>
      <c r="P30" s="40">
        <f>SUM(D30:O30)</f>
        <v>133724.73268655434</v>
      </c>
    </row>
    <row r="31" spans="2:30" ht="17.5" customHeight="1" x14ac:dyDescent="0.35">
      <c r="B31" s="44" t="s">
        <v>59</v>
      </c>
      <c r="C31" s="2">
        <v>2000</v>
      </c>
      <c r="D31" s="41">
        <f t="shared" ref="D31:O31" si="12">D9*$C$31*factor</f>
        <v>7833.3333333333294</v>
      </c>
      <c r="E31" s="41">
        <f t="shared" si="12"/>
        <v>8166.6666666666624</v>
      </c>
      <c r="F31" s="41">
        <f t="shared" si="12"/>
        <v>8166.6666666666624</v>
      </c>
      <c r="G31" s="41">
        <f t="shared" si="12"/>
        <v>8499.9999999999945</v>
      </c>
      <c r="H31" s="41">
        <f t="shared" si="12"/>
        <v>8499.9999999999945</v>
      </c>
      <c r="I31" s="41">
        <f t="shared" si="12"/>
        <v>8833.3333333333285</v>
      </c>
      <c r="J31" s="41">
        <f t="shared" si="12"/>
        <v>8833.3333333333285</v>
      </c>
      <c r="K31" s="41">
        <f t="shared" si="12"/>
        <v>9166.6666666666624</v>
      </c>
      <c r="L31" s="41">
        <f t="shared" si="12"/>
        <v>9166.6666666666624</v>
      </c>
      <c r="M31" s="41">
        <f t="shared" si="12"/>
        <v>9499.9999999999945</v>
      </c>
      <c r="N31" s="41">
        <f t="shared" si="12"/>
        <v>9499.9999999999945</v>
      </c>
      <c r="O31" s="41">
        <f t="shared" si="12"/>
        <v>9833.3333333333285</v>
      </c>
      <c r="P31" s="41">
        <f>SUM(D31:O31)</f>
        <v>105999.99999999994</v>
      </c>
    </row>
    <row r="32" spans="2:30" ht="18" x14ac:dyDescent="0.4">
      <c r="B32" s="4" t="str">
        <f>+"Total "&amp;B28</f>
        <v>Total Benefits &amp; Perks</v>
      </c>
      <c r="C32" s="39"/>
      <c r="D32" s="42">
        <f>SUM(D29:D31)</f>
        <v>726147.65</v>
      </c>
      <c r="E32" s="42">
        <f t="shared" ref="E32:P32" si="13">SUM(E29:E31)</f>
        <v>48129.342833333329</v>
      </c>
      <c r="F32" s="42">
        <f t="shared" si="13"/>
        <v>18162.673118333325</v>
      </c>
      <c r="G32" s="42">
        <f t="shared" si="13"/>
        <v>48882.836645216652</v>
      </c>
      <c r="H32" s="42">
        <f t="shared" si="13"/>
        <v>18918.196744573157</v>
      </c>
      <c r="I32" s="42">
        <f t="shared" si="13"/>
        <v>49640.450980243688</v>
      </c>
      <c r="J32" s="42">
        <f t="shared" si="13"/>
        <v>19677.964509650992</v>
      </c>
      <c r="K32" s="42">
        <f t="shared" si="13"/>
        <v>50402.436778273863</v>
      </c>
      <c r="L32" s="42">
        <f t="shared" si="13"/>
        <v>20442.234881622077</v>
      </c>
      <c r="M32" s="42">
        <f t="shared" si="13"/>
        <v>51169.060261404076</v>
      </c>
      <c r="N32" s="42">
        <f t="shared" si="13"/>
        <v>21211.282069246197</v>
      </c>
      <c r="O32" s="42">
        <f t="shared" si="13"/>
        <v>51940.603864656907</v>
      </c>
      <c r="P32" s="42">
        <f t="shared" si="13"/>
        <v>1124724.7326865543</v>
      </c>
    </row>
    <row r="33" spans="2:17" ht="18" x14ac:dyDescent="0.4">
      <c r="B33" s="4"/>
      <c r="C33" s="39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2:17" ht="18" x14ac:dyDescent="0.4">
      <c r="B34" s="38" t="s">
        <v>29</v>
      </c>
      <c r="C34" s="22" t="s">
        <v>13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2:17" ht="17.5" customHeight="1" x14ac:dyDescent="0.35">
      <c r="B35" s="44" t="s">
        <v>30</v>
      </c>
      <c r="C35" s="2">
        <v>500</v>
      </c>
      <c r="D35" s="40">
        <f t="shared" ref="D35:O35" si="14">D$9*$C$35*factor</f>
        <v>1958.3333333333323</v>
      </c>
      <c r="E35" s="40">
        <f t="shared" si="14"/>
        <v>2041.6666666666656</v>
      </c>
      <c r="F35" s="40">
        <f t="shared" si="14"/>
        <v>2041.6666666666656</v>
      </c>
      <c r="G35" s="40">
        <f t="shared" si="14"/>
        <v>2124.9999999999986</v>
      </c>
      <c r="H35" s="40">
        <f t="shared" si="14"/>
        <v>2124.9999999999986</v>
      </c>
      <c r="I35" s="40">
        <f t="shared" si="14"/>
        <v>2208.3333333333321</v>
      </c>
      <c r="J35" s="40">
        <f t="shared" si="14"/>
        <v>2208.3333333333321</v>
      </c>
      <c r="K35" s="40">
        <f t="shared" si="14"/>
        <v>2291.6666666666656</v>
      </c>
      <c r="L35" s="40">
        <f t="shared" si="14"/>
        <v>2291.6666666666656</v>
      </c>
      <c r="M35" s="40">
        <f t="shared" si="14"/>
        <v>2374.9999999999986</v>
      </c>
      <c r="N35" s="40">
        <f t="shared" si="14"/>
        <v>2374.9999999999986</v>
      </c>
      <c r="O35" s="40">
        <f t="shared" si="14"/>
        <v>2458.3333333333321</v>
      </c>
      <c r="P35" s="40">
        <f>SUM(D35:O35)</f>
        <v>26499.999999999985</v>
      </c>
      <c r="Q35" s="40"/>
    </row>
    <row r="36" spans="2:17" ht="18" customHeight="1" x14ac:dyDescent="0.35">
      <c r="B36" s="44" t="s">
        <v>31</v>
      </c>
      <c r="C36" s="2">
        <v>500</v>
      </c>
      <c r="D36" s="40">
        <f t="shared" ref="D36:O36" si="15">D$9*$C$36*factor</f>
        <v>1958.3333333333323</v>
      </c>
      <c r="E36" s="40">
        <f t="shared" si="15"/>
        <v>2041.6666666666656</v>
      </c>
      <c r="F36" s="40">
        <f t="shared" si="15"/>
        <v>2041.6666666666656</v>
      </c>
      <c r="G36" s="40">
        <f t="shared" si="15"/>
        <v>2124.9999999999986</v>
      </c>
      <c r="H36" s="40">
        <f t="shared" si="15"/>
        <v>2124.9999999999986</v>
      </c>
      <c r="I36" s="40">
        <f t="shared" si="15"/>
        <v>2208.3333333333321</v>
      </c>
      <c r="J36" s="40">
        <f t="shared" si="15"/>
        <v>2208.3333333333321</v>
      </c>
      <c r="K36" s="40">
        <f t="shared" si="15"/>
        <v>2291.6666666666656</v>
      </c>
      <c r="L36" s="40">
        <f t="shared" si="15"/>
        <v>2291.6666666666656</v>
      </c>
      <c r="M36" s="40">
        <f t="shared" si="15"/>
        <v>2374.9999999999986</v>
      </c>
      <c r="N36" s="40">
        <f t="shared" si="15"/>
        <v>2374.9999999999986</v>
      </c>
      <c r="O36" s="40">
        <f t="shared" si="15"/>
        <v>2458.3333333333321</v>
      </c>
      <c r="P36" s="40">
        <f>SUM(D36:O36)</f>
        <v>26499.999999999985</v>
      </c>
      <c r="Q36" s="40"/>
    </row>
    <row r="37" spans="2:17" ht="18" customHeight="1" x14ac:dyDescent="0.35">
      <c r="B37" s="44" t="s">
        <v>32</v>
      </c>
      <c r="C37" s="2">
        <v>300</v>
      </c>
      <c r="D37" s="41">
        <f t="shared" ref="D37:O37" si="16">D$9*$C$37*factor</f>
        <v>1174.9999999999993</v>
      </c>
      <c r="E37" s="41">
        <f t="shared" si="16"/>
        <v>1224.9999999999993</v>
      </c>
      <c r="F37" s="41">
        <f t="shared" si="16"/>
        <v>1224.9999999999993</v>
      </c>
      <c r="G37" s="41">
        <f t="shared" si="16"/>
        <v>1274.9999999999993</v>
      </c>
      <c r="H37" s="41">
        <f t="shared" si="16"/>
        <v>1274.9999999999993</v>
      </c>
      <c r="I37" s="41">
        <f t="shared" si="16"/>
        <v>1324.9999999999993</v>
      </c>
      <c r="J37" s="41">
        <f t="shared" si="16"/>
        <v>1324.9999999999993</v>
      </c>
      <c r="K37" s="41">
        <f t="shared" si="16"/>
        <v>1374.9999999999993</v>
      </c>
      <c r="L37" s="41">
        <f t="shared" si="16"/>
        <v>1374.9999999999993</v>
      </c>
      <c r="M37" s="41">
        <f t="shared" si="16"/>
        <v>1424.9999999999993</v>
      </c>
      <c r="N37" s="41">
        <f t="shared" si="16"/>
        <v>1424.9999999999993</v>
      </c>
      <c r="O37" s="41">
        <f t="shared" si="16"/>
        <v>1474.9999999999991</v>
      </c>
      <c r="P37" s="41">
        <f>SUM(D37:O37)</f>
        <v>15899.999999999993</v>
      </c>
      <c r="Q37" s="40"/>
    </row>
    <row r="38" spans="2:17" ht="18" customHeight="1" x14ac:dyDescent="0.4">
      <c r="B38" s="4" t="str">
        <f>+"Total "&amp;B34</f>
        <v>Total Travel &amp; Lodging</v>
      </c>
      <c r="C38" s="39"/>
      <c r="D38" s="42">
        <f>SUM(D35:D37)</f>
        <v>5091.6666666666642</v>
      </c>
      <c r="E38" s="42">
        <f t="shared" ref="E38" si="17">SUM(E35:E37)</f>
        <v>5308.3333333333303</v>
      </c>
      <c r="F38" s="42">
        <f t="shared" ref="F38" si="18">SUM(F35:F37)</f>
        <v>5308.3333333333303</v>
      </c>
      <c r="G38" s="42">
        <f t="shared" ref="G38" si="19">SUM(G35:G37)</f>
        <v>5524.9999999999964</v>
      </c>
      <c r="H38" s="42">
        <f t="shared" ref="H38" si="20">SUM(H35:H37)</f>
        <v>5524.9999999999964</v>
      </c>
      <c r="I38" s="42">
        <f t="shared" ref="I38" si="21">SUM(I35:I37)</f>
        <v>5741.6666666666633</v>
      </c>
      <c r="J38" s="42">
        <f t="shared" ref="J38" si="22">SUM(J35:J37)</f>
        <v>5741.6666666666633</v>
      </c>
      <c r="K38" s="42">
        <f t="shared" ref="K38" si="23">SUM(K35:K37)</f>
        <v>5958.3333333333303</v>
      </c>
      <c r="L38" s="42">
        <f t="shared" ref="L38" si="24">SUM(L35:L37)</f>
        <v>5958.3333333333303</v>
      </c>
      <c r="M38" s="42">
        <f t="shared" ref="M38" si="25">SUM(M35:M37)</f>
        <v>6174.9999999999964</v>
      </c>
      <c r="N38" s="42">
        <f t="shared" ref="N38" si="26">SUM(N35:N37)</f>
        <v>6174.9999999999964</v>
      </c>
      <c r="O38" s="42">
        <f t="shared" ref="O38" si="27">SUM(O35:O37)</f>
        <v>6391.6666666666633</v>
      </c>
      <c r="P38" s="42">
        <f t="shared" ref="P38" si="28">SUM(P35:P37)</f>
        <v>68899.999999999971</v>
      </c>
    </row>
    <row r="39" spans="2:17" ht="18" customHeight="1" x14ac:dyDescent="0.4">
      <c r="B39" s="4"/>
      <c r="C39" s="15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2:17" ht="18" customHeight="1" x14ac:dyDescent="0.4">
      <c r="B40" s="38" t="s">
        <v>122</v>
      </c>
      <c r="C40" s="68" t="s">
        <v>13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2:17" ht="18" customHeight="1" x14ac:dyDescent="0.35">
      <c r="B41" s="15" t="s">
        <v>123</v>
      </c>
      <c r="C41" s="2">
        <v>0</v>
      </c>
      <c r="D41" s="40">
        <f t="shared" ref="D41:O41" si="29">D$9*$C$41/52*4.33333333333333</f>
        <v>0</v>
      </c>
      <c r="E41" s="40">
        <f t="shared" si="29"/>
        <v>0</v>
      </c>
      <c r="F41" s="40">
        <f t="shared" si="29"/>
        <v>0</v>
      </c>
      <c r="G41" s="40">
        <f t="shared" si="29"/>
        <v>0</v>
      </c>
      <c r="H41" s="40">
        <f t="shared" si="29"/>
        <v>0</v>
      </c>
      <c r="I41" s="40">
        <f t="shared" si="29"/>
        <v>0</v>
      </c>
      <c r="J41" s="40">
        <f t="shared" si="29"/>
        <v>0</v>
      </c>
      <c r="K41" s="40">
        <f t="shared" si="29"/>
        <v>0</v>
      </c>
      <c r="L41" s="40">
        <f t="shared" si="29"/>
        <v>0</v>
      </c>
      <c r="M41" s="40">
        <f t="shared" si="29"/>
        <v>0</v>
      </c>
      <c r="N41" s="40">
        <f t="shared" si="29"/>
        <v>0</v>
      </c>
      <c r="O41" s="40">
        <f t="shared" si="29"/>
        <v>0</v>
      </c>
      <c r="P41" s="40">
        <f>SUM(D41:O41)</f>
        <v>0</v>
      </c>
    </row>
    <row r="42" spans="2:17" ht="18" customHeight="1" x14ac:dyDescent="0.35">
      <c r="B42" s="15" t="s">
        <v>124</v>
      </c>
      <c r="C42" s="2">
        <v>0</v>
      </c>
      <c r="D42" s="40">
        <f t="shared" ref="D42:O42" si="30">D$9*$C$42/52*4.33333333333333</f>
        <v>0</v>
      </c>
      <c r="E42" s="40">
        <f t="shared" si="30"/>
        <v>0</v>
      </c>
      <c r="F42" s="40">
        <f t="shared" si="30"/>
        <v>0</v>
      </c>
      <c r="G42" s="40">
        <f t="shared" si="30"/>
        <v>0</v>
      </c>
      <c r="H42" s="40">
        <f t="shared" si="30"/>
        <v>0</v>
      </c>
      <c r="I42" s="40">
        <f t="shared" si="30"/>
        <v>0</v>
      </c>
      <c r="J42" s="40">
        <f t="shared" si="30"/>
        <v>0</v>
      </c>
      <c r="K42" s="40">
        <f t="shared" si="30"/>
        <v>0</v>
      </c>
      <c r="L42" s="40">
        <f t="shared" si="30"/>
        <v>0</v>
      </c>
      <c r="M42" s="40">
        <f t="shared" si="30"/>
        <v>0</v>
      </c>
      <c r="N42" s="40">
        <f t="shared" si="30"/>
        <v>0</v>
      </c>
      <c r="O42" s="40">
        <f t="shared" si="30"/>
        <v>0</v>
      </c>
      <c r="P42" s="40">
        <f t="shared" ref="P42:P45" si="31">SUM(D42:O42)</f>
        <v>0</v>
      </c>
    </row>
    <row r="43" spans="2:17" ht="18" customHeight="1" x14ac:dyDescent="0.35">
      <c r="B43" s="15" t="s">
        <v>125</v>
      </c>
      <c r="C43" s="2">
        <v>0</v>
      </c>
      <c r="D43" s="40">
        <f t="shared" ref="D43:O43" si="32">D$9*$C$43/52*4.33333333333333</f>
        <v>0</v>
      </c>
      <c r="E43" s="40">
        <f t="shared" si="32"/>
        <v>0</v>
      </c>
      <c r="F43" s="40">
        <f t="shared" si="32"/>
        <v>0</v>
      </c>
      <c r="G43" s="40">
        <f t="shared" si="32"/>
        <v>0</v>
      </c>
      <c r="H43" s="40">
        <f t="shared" si="32"/>
        <v>0</v>
      </c>
      <c r="I43" s="40">
        <f t="shared" si="32"/>
        <v>0</v>
      </c>
      <c r="J43" s="40">
        <f t="shared" si="32"/>
        <v>0</v>
      </c>
      <c r="K43" s="40">
        <f t="shared" si="32"/>
        <v>0</v>
      </c>
      <c r="L43" s="40">
        <f t="shared" si="32"/>
        <v>0</v>
      </c>
      <c r="M43" s="40">
        <f t="shared" si="32"/>
        <v>0</v>
      </c>
      <c r="N43" s="40">
        <f t="shared" si="32"/>
        <v>0</v>
      </c>
      <c r="O43" s="40">
        <f t="shared" si="32"/>
        <v>0</v>
      </c>
      <c r="P43" s="40">
        <f t="shared" si="31"/>
        <v>0</v>
      </c>
    </row>
    <row r="44" spans="2:17" ht="18" customHeight="1" x14ac:dyDescent="0.35">
      <c r="B44" s="15" t="s">
        <v>126</v>
      </c>
      <c r="C44" s="2">
        <v>0</v>
      </c>
      <c r="D44" s="40">
        <f t="shared" ref="D44:O44" si="33">D$9*$C$44/52*4.33333333333333</f>
        <v>0</v>
      </c>
      <c r="E44" s="40">
        <f t="shared" si="33"/>
        <v>0</v>
      </c>
      <c r="F44" s="40">
        <f t="shared" si="33"/>
        <v>0</v>
      </c>
      <c r="G44" s="40">
        <f t="shared" si="33"/>
        <v>0</v>
      </c>
      <c r="H44" s="40">
        <f t="shared" si="33"/>
        <v>0</v>
      </c>
      <c r="I44" s="40">
        <f t="shared" si="33"/>
        <v>0</v>
      </c>
      <c r="J44" s="40">
        <f t="shared" si="33"/>
        <v>0</v>
      </c>
      <c r="K44" s="40">
        <f t="shared" si="33"/>
        <v>0</v>
      </c>
      <c r="L44" s="40">
        <f t="shared" si="33"/>
        <v>0</v>
      </c>
      <c r="M44" s="40">
        <f t="shared" si="33"/>
        <v>0</v>
      </c>
      <c r="N44" s="40">
        <f t="shared" si="33"/>
        <v>0</v>
      </c>
      <c r="O44" s="40">
        <f t="shared" si="33"/>
        <v>0</v>
      </c>
      <c r="P44" s="40">
        <f t="shared" si="31"/>
        <v>0</v>
      </c>
    </row>
    <row r="45" spans="2:17" ht="18" customHeight="1" x14ac:dyDescent="0.35">
      <c r="B45" s="15" t="s">
        <v>127</v>
      </c>
      <c r="C45" s="2">
        <v>0</v>
      </c>
      <c r="D45" s="41">
        <f t="shared" ref="D45:O45" si="34">D$9*$C$45/52*4.33333333333333</f>
        <v>0</v>
      </c>
      <c r="E45" s="41">
        <f t="shared" si="34"/>
        <v>0</v>
      </c>
      <c r="F45" s="41">
        <f t="shared" si="34"/>
        <v>0</v>
      </c>
      <c r="G45" s="41">
        <f t="shared" si="34"/>
        <v>0</v>
      </c>
      <c r="H45" s="41">
        <f t="shared" si="34"/>
        <v>0</v>
      </c>
      <c r="I45" s="41">
        <f t="shared" si="34"/>
        <v>0</v>
      </c>
      <c r="J45" s="41">
        <f t="shared" si="34"/>
        <v>0</v>
      </c>
      <c r="K45" s="41">
        <f t="shared" si="34"/>
        <v>0</v>
      </c>
      <c r="L45" s="41">
        <f t="shared" si="34"/>
        <v>0</v>
      </c>
      <c r="M45" s="41">
        <f t="shared" si="34"/>
        <v>0</v>
      </c>
      <c r="N45" s="41">
        <f t="shared" si="34"/>
        <v>0</v>
      </c>
      <c r="O45" s="41">
        <f t="shared" si="34"/>
        <v>0</v>
      </c>
      <c r="P45" s="41">
        <f t="shared" si="31"/>
        <v>0</v>
      </c>
    </row>
    <row r="46" spans="2:17" ht="18" customHeight="1" x14ac:dyDescent="0.4">
      <c r="B46" s="4" t="str">
        <f>+"Total "&amp;B40</f>
        <v xml:space="preserve">Total Fixed Cost Category </v>
      </c>
      <c r="C46" s="39"/>
      <c r="D46" s="42">
        <f>SUM(D41:D45)</f>
        <v>0</v>
      </c>
      <c r="E46" s="42">
        <f t="shared" ref="E46:P46" si="35">SUM(E41:E45)</f>
        <v>0</v>
      </c>
      <c r="F46" s="42">
        <f t="shared" si="35"/>
        <v>0</v>
      </c>
      <c r="G46" s="42">
        <f t="shared" si="35"/>
        <v>0</v>
      </c>
      <c r="H46" s="42">
        <f t="shared" si="35"/>
        <v>0</v>
      </c>
      <c r="I46" s="42">
        <f t="shared" si="35"/>
        <v>0</v>
      </c>
      <c r="J46" s="42">
        <f t="shared" si="35"/>
        <v>0</v>
      </c>
      <c r="K46" s="42">
        <f t="shared" si="35"/>
        <v>0</v>
      </c>
      <c r="L46" s="42">
        <f t="shared" si="35"/>
        <v>0</v>
      </c>
      <c r="M46" s="42">
        <f t="shared" si="35"/>
        <v>0</v>
      </c>
      <c r="N46" s="42">
        <f t="shared" si="35"/>
        <v>0</v>
      </c>
      <c r="O46" s="42">
        <f t="shared" si="35"/>
        <v>0</v>
      </c>
      <c r="P46" s="42">
        <f t="shared" si="35"/>
        <v>0</v>
      </c>
    </row>
    <row r="47" spans="2:17" ht="18" customHeight="1" x14ac:dyDescent="0.4">
      <c r="B47" s="4"/>
      <c r="C47" s="15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</row>
    <row r="48" spans="2:17" ht="18" customHeight="1" x14ac:dyDescent="0.4">
      <c r="B48" s="38" t="s">
        <v>122</v>
      </c>
      <c r="C48" s="68" t="s">
        <v>13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2:16" ht="18" customHeight="1" x14ac:dyDescent="0.35">
      <c r="B49" s="15" t="s">
        <v>123</v>
      </c>
      <c r="C49" s="2">
        <v>0</v>
      </c>
      <c r="D49" s="40">
        <f>$C49/52*4.33333333333333</f>
        <v>0</v>
      </c>
      <c r="E49" s="40">
        <f t="shared" ref="E49:O53" si="36">$C49/52*4.33333333333333</f>
        <v>0</v>
      </c>
      <c r="F49" s="40">
        <f t="shared" si="36"/>
        <v>0</v>
      </c>
      <c r="G49" s="40">
        <f t="shared" si="36"/>
        <v>0</v>
      </c>
      <c r="H49" s="40">
        <f t="shared" si="36"/>
        <v>0</v>
      </c>
      <c r="I49" s="40">
        <f t="shared" si="36"/>
        <v>0</v>
      </c>
      <c r="J49" s="40">
        <f t="shared" si="36"/>
        <v>0</v>
      </c>
      <c r="K49" s="40">
        <f t="shared" si="36"/>
        <v>0</v>
      </c>
      <c r="L49" s="40">
        <f t="shared" si="36"/>
        <v>0</v>
      </c>
      <c r="M49" s="40">
        <f t="shared" si="36"/>
        <v>0</v>
      </c>
      <c r="N49" s="40">
        <f t="shared" si="36"/>
        <v>0</v>
      </c>
      <c r="O49" s="40">
        <f t="shared" si="36"/>
        <v>0</v>
      </c>
      <c r="P49" s="40">
        <f>SUM(D49:O49)</f>
        <v>0</v>
      </c>
    </row>
    <row r="50" spans="2:16" ht="18" customHeight="1" x14ac:dyDescent="0.35">
      <c r="B50" s="15" t="s">
        <v>124</v>
      </c>
      <c r="C50" s="2">
        <v>0</v>
      </c>
      <c r="D50" s="40">
        <f t="shared" ref="D50:D53" si="37">$C50/52*4.33333333333333</f>
        <v>0</v>
      </c>
      <c r="E50" s="40">
        <f t="shared" si="36"/>
        <v>0</v>
      </c>
      <c r="F50" s="40">
        <f t="shared" si="36"/>
        <v>0</v>
      </c>
      <c r="G50" s="40">
        <f t="shared" si="36"/>
        <v>0</v>
      </c>
      <c r="H50" s="40">
        <f t="shared" si="36"/>
        <v>0</v>
      </c>
      <c r="I50" s="40">
        <f t="shared" si="36"/>
        <v>0</v>
      </c>
      <c r="J50" s="40">
        <f t="shared" si="36"/>
        <v>0</v>
      </c>
      <c r="K50" s="40">
        <f t="shared" si="36"/>
        <v>0</v>
      </c>
      <c r="L50" s="40">
        <f t="shared" si="36"/>
        <v>0</v>
      </c>
      <c r="M50" s="40">
        <f t="shared" si="36"/>
        <v>0</v>
      </c>
      <c r="N50" s="40">
        <f t="shared" si="36"/>
        <v>0</v>
      </c>
      <c r="O50" s="40">
        <f t="shared" si="36"/>
        <v>0</v>
      </c>
      <c r="P50" s="40">
        <f t="shared" ref="P50:P53" si="38">SUM(D50:O50)</f>
        <v>0</v>
      </c>
    </row>
    <row r="51" spans="2:16" ht="18" customHeight="1" x14ac:dyDescent="0.35">
      <c r="B51" s="15" t="s">
        <v>125</v>
      </c>
      <c r="C51" s="2">
        <v>0</v>
      </c>
      <c r="D51" s="40">
        <f t="shared" si="37"/>
        <v>0</v>
      </c>
      <c r="E51" s="40">
        <f t="shared" si="36"/>
        <v>0</v>
      </c>
      <c r="F51" s="40">
        <f t="shared" si="36"/>
        <v>0</v>
      </c>
      <c r="G51" s="40">
        <f t="shared" si="36"/>
        <v>0</v>
      </c>
      <c r="H51" s="40">
        <f t="shared" si="36"/>
        <v>0</v>
      </c>
      <c r="I51" s="40">
        <f t="shared" si="36"/>
        <v>0</v>
      </c>
      <c r="J51" s="40">
        <f t="shared" si="36"/>
        <v>0</v>
      </c>
      <c r="K51" s="40">
        <f t="shared" si="36"/>
        <v>0</v>
      </c>
      <c r="L51" s="40">
        <f t="shared" si="36"/>
        <v>0</v>
      </c>
      <c r="M51" s="40">
        <f t="shared" si="36"/>
        <v>0</v>
      </c>
      <c r="N51" s="40">
        <f t="shared" si="36"/>
        <v>0</v>
      </c>
      <c r="O51" s="40">
        <f t="shared" si="36"/>
        <v>0</v>
      </c>
      <c r="P51" s="40">
        <f t="shared" si="38"/>
        <v>0</v>
      </c>
    </row>
    <row r="52" spans="2:16" ht="18" customHeight="1" x14ac:dyDescent="0.35">
      <c r="B52" s="15" t="s">
        <v>126</v>
      </c>
      <c r="C52" s="2">
        <v>0</v>
      </c>
      <c r="D52" s="40">
        <f t="shared" si="37"/>
        <v>0</v>
      </c>
      <c r="E52" s="40">
        <f t="shared" si="36"/>
        <v>0</v>
      </c>
      <c r="F52" s="40">
        <f t="shared" si="36"/>
        <v>0</v>
      </c>
      <c r="G52" s="40">
        <f t="shared" si="36"/>
        <v>0</v>
      </c>
      <c r="H52" s="40">
        <f t="shared" si="36"/>
        <v>0</v>
      </c>
      <c r="I52" s="40">
        <f t="shared" si="36"/>
        <v>0</v>
      </c>
      <c r="J52" s="40">
        <f t="shared" si="36"/>
        <v>0</v>
      </c>
      <c r="K52" s="40">
        <f t="shared" si="36"/>
        <v>0</v>
      </c>
      <c r="L52" s="40">
        <f t="shared" si="36"/>
        <v>0</v>
      </c>
      <c r="M52" s="40">
        <f t="shared" si="36"/>
        <v>0</v>
      </c>
      <c r="N52" s="40">
        <f t="shared" si="36"/>
        <v>0</v>
      </c>
      <c r="O52" s="40">
        <f t="shared" si="36"/>
        <v>0</v>
      </c>
      <c r="P52" s="40">
        <f t="shared" si="38"/>
        <v>0</v>
      </c>
    </row>
    <row r="53" spans="2:16" ht="18" customHeight="1" x14ac:dyDescent="0.35">
      <c r="B53" s="15" t="s">
        <v>127</v>
      </c>
      <c r="C53" s="2">
        <v>0</v>
      </c>
      <c r="D53" s="41">
        <f t="shared" si="37"/>
        <v>0</v>
      </c>
      <c r="E53" s="41">
        <f t="shared" si="36"/>
        <v>0</v>
      </c>
      <c r="F53" s="41">
        <f t="shared" si="36"/>
        <v>0</v>
      </c>
      <c r="G53" s="41">
        <f t="shared" si="36"/>
        <v>0</v>
      </c>
      <c r="H53" s="41">
        <f t="shared" si="36"/>
        <v>0</v>
      </c>
      <c r="I53" s="41">
        <f t="shared" si="36"/>
        <v>0</v>
      </c>
      <c r="J53" s="41">
        <f t="shared" si="36"/>
        <v>0</v>
      </c>
      <c r="K53" s="41">
        <f t="shared" si="36"/>
        <v>0</v>
      </c>
      <c r="L53" s="41">
        <f t="shared" si="36"/>
        <v>0</v>
      </c>
      <c r="M53" s="41">
        <f t="shared" si="36"/>
        <v>0</v>
      </c>
      <c r="N53" s="41">
        <f t="shared" si="36"/>
        <v>0</v>
      </c>
      <c r="O53" s="41">
        <f t="shared" si="36"/>
        <v>0</v>
      </c>
      <c r="P53" s="41">
        <f t="shared" si="38"/>
        <v>0</v>
      </c>
    </row>
    <row r="54" spans="2:16" ht="18" customHeight="1" x14ac:dyDescent="0.4">
      <c r="B54" s="4" t="str">
        <f>+"Total "&amp;B48</f>
        <v xml:space="preserve">Total Fixed Cost Category </v>
      </c>
      <c r="C54" s="39"/>
      <c r="D54" s="42">
        <f>SUM(D49:D53)</f>
        <v>0</v>
      </c>
      <c r="E54" s="42">
        <f t="shared" ref="E54:P54" si="39">SUM(E49:E53)</f>
        <v>0</v>
      </c>
      <c r="F54" s="42">
        <f t="shared" si="39"/>
        <v>0</v>
      </c>
      <c r="G54" s="42">
        <f t="shared" si="39"/>
        <v>0</v>
      </c>
      <c r="H54" s="42">
        <f t="shared" si="39"/>
        <v>0</v>
      </c>
      <c r="I54" s="42">
        <f t="shared" si="39"/>
        <v>0</v>
      </c>
      <c r="J54" s="42">
        <f t="shared" si="39"/>
        <v>0</v>
      </c>
      <c r="K54" s="42">
        <f t="shared" si="39"/>
        <v>0</v>
      </c>
      <c r="L54" s="42">
        <f t="shared" si="39"/>
        <v>0</v>
      </c>
      <c r="M54" s="42">
        <f t="shared" si="39"/>
        <v>0</v>
      </c>
      <c r="N54" s="42">
        <f t="shared" si="39"/>
        <v>0</v>
      </c>
      <c r="O54" s="42">
        <f t="shared" si="39"/>
        <v>0</v>
      </c>
      <c r="P54" s="42">
        <f t="shared" si="39"/>
        <v>0</v>
      </c>
    </row>
    <row r="55" spans="2:16" ht="18" customHeight="1" x14ac:dyDescent="0.4">
      <c r="B55" s="4"/>
      <c r="C55" s="15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</row>
    <row r="56" spans="2:16" ht="18" customHeight="1" x14ac:dyDescent="0.4">
      <c r="B56" s="4" t="s">
        <v>62</v>
      </c>
      <c r="C56" s="15"/>
      <c r="D56" s="42">
        <f>+D26+D32+D38+D46+D54</f>
        <v>1048516.6499999999</v>
      </c>
      <c r="E56" s="42">
        <f t="shared" ref="E56:P56" si="40">+E26+E32+E38+E46+E54</f>
        <v>290846.12949999986</v>
      </c>
      <c r="F56" s="42">
        <f t="shared" si="40"/>
        <v>261673.71338499989</v>
      </c>
      <c r="G56" s="42">
        <f t="shared" si="40"/>
        <v>301828.62478654983</v>
      </c>
      <c r="H56" s="42">
        <f t="shared" si="40"/>
        <v>272706.60853014642</v>
      </c>
      <c r="I56" s="42">
        <f t="shared" si="40"/>
        <v>312913.43178605079</v>
      </c>
      <c r="J56" s="42">
        <f t="shared" si="40"/>
        <v>283844.88473963225</v>
      </c>
      <c r="K56" s="42">
        <f t="shared" si="40"/>
        <v>324106.78128182131</v>
      </c>
      <c r="L56" s="42">
        <f t="shared" si="40"/>
        <v>295094.95972027589</v>
      </c>
      <c r="M56" s="42">
        <f t="shared" si="40"/>
        <v>335415.28351188434</v>
      </c>
      <c r="N56" s="42">
        <f t="shared" si="40"/>
        <v>306463.64201724087</v>
      </c>
      <c r="O56" s="42">
        <f t="shared" si="40"/>
        <v>346845.95127775794</v>
      </c>
      <c r="P56" s="42">
        <f t="shared" si="40"/>
        <v>4380256.6605363591</v>
      </c>
    </row>
    <row r="57" spans="2:16" ht="18" customHeight="1" x14ac:dyDescent="0.4">
      <c r="B57" s="4"/>
      <c r="C57" s="15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</row>
    <row r="58" spans="2:16" ht="18" customHeight="1" x14ac:dyDescent="0.4">
      <c r="B58" s="4" t="s">
        <v>6</v>
      </c>
      <c r="C58" s="16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</row>
    <row r="59" spans="2:16" ht="18" customHeight="1" x14ac:dyDescent="0.35">
      <c r="B59" s="15" t="s">
        <v>60</v>
      </c>
      <c r="C59" s="15" t="s">
        <v>26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40">
        <f t="shared" ref="P59:P63" si="41">SUM(D59:O59)</f>
        <v>0</v>
      </c>
    </row>
    <row r="60" spans="2:16" ht="18" customHeight="1" x14ac:dyDescent="0.35">
      <c r="B60" s="15" t="s">
        <v>7</v>
      </c>
      <c r="C60" s="15" t="s">
        <v>26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40">
        <f t="shared" si="41"/>
        <v>0</v>
      </c>
    </row>
    <row r="61" spans="2:16" ht="18" customHeight="1" x14ac:dyDescent="0.35">
      <c r="B61" s="15" t="s">
        <v>8</v>
      </c>
      <c r="C61" s="15" t="s">
        <v>26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40">
        <f t="shared" si="41"/>
        <v>0</v>
      </c>
    </row>
    <row r="62" spans="2:16" ht="18" customHeight="1" x14ac:dyDescent="0.35">
      <c r="B62" s="15" t="s">
        <v>9</v>
      </c>
      <c r="C62" s="15" t="s">
        <v>26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40">
        <f t="shared" si="41"/>
        <v>0</v>
      </c>
    </row>
    <row r="63" spans="2:16" ht="18" customHeight="1" x14ac:dyDescent="0.35">
      <c r="B63" s="15" t="s">
        <v>10</v>
      </c>
      <c r="C63" s="15" t="s">
        <v>26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41">
        <f t="shared" si="41"/>
        <v>0</v>
      </c>
    </row>
    <row r="64" spans="2:16" ht="18" customHeight="1" x14ac:dyDescent="0.4">
      <c r="B64" s="4" t="str">
        <f>+"Total "&amp;B58</f>
        <v>Total Variable Costs</v>
      </c>
      <c r="C64" s="3"/>
      <c r="D64" s="42">
        <f>SUM(D59:D63)</f>
        <v>0</v>
      </c>
      <c r="E64" s="42">
        <f t="shared" ref="E64:P64" si="42">SUM(E59:E63)</f>
        <v>0</v>
      </c>
      <c r="F64" s="42">
        <f t="shared" si="42"/>
        <v>0</v>
      </c>
      <c r="G64" s="42">
        <f t="shared" si="42"/>
        <v>0</v>
      </c>
      <c r="H64" s="42">
        <f t="shared" si="42"/>
        <v>0</v>
      </c>
      <c r="I64" s="42">
        <f t="shared" si="42"/>
        <v>0</v>
      </c>
      <c r="J64" s="42">
        <f t="shared" si="42"/>
        <v>0</v>
      </c>
      <c r="K64" s="42">
        <f t="shared" si="42"/>
        <v>0</v>
      </c>
      <c r="L64" s="42">
        <f t="shared" si="42"/>
        <v>0</v>
      </c>
      <c r="M64" s="42">
        <f t="shared" si="42"/>
        <v>0</v>
      </c>
      <c r="N64" s="42">
        <f t="shared" si="42"/>
        <v>0</v>
      </c>
      <c r="O64" s="42">
        <f t="shared" si="42"/>
        <v>0</v>
      </c>
      <c r="P64" s="42">
        <f t="shared" si="42"/>
        <v>0</v>
      </c>
    </row>
    <row r="65" spans="2:16" ht="18" customHeight="1" x14ac:dyDescent="0.4">
      <c r="B65" s="4"/>
      <c r="C65" s="3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</row>
    <row r="66" spans="2:16" ht="18" customHeight="1" x14ac:dyDescent="0.4">
      <c r="B66" s="4" t="s">
        <v>64</v>
      </c>
      <c r="C66" s="15"/>
      <c r="D66" s="42">
        <f>D56+D64</f>
        <v>1048516.6499999999</v>
      </c>
      <c r="E66" s="42">
        <f t="shared" ref="E66:P66" si="43">E56+E64</f>
        <v>290846.12949999986</v>
      </c>
      <c r="F66" s="42">
        <f t="shared" si="43"/>
        <v>261673.71338499989</v>
      </c>
      <c r="G66" s="42">
        <f t="shared" si="43"/>
        <v>301828.62478654983</v>
      </c>
      <c r="H66" s="42">
        <f t="shared" si="43"/>
        <v>272706.60853014642</v>
      </c>
      <c r="I66" s="42">
        <f t="shared" si="43"/>
        <v>312913.43178605079</v>
      </c>
      <c r="J66" s="42">
        <f t="shared" si="43"/>
        <v>283844.88473963225</v>
      </c>
      <c r="K66" s="42">
        <f t="shared" si="43"/>
        <v>324106.78128182131</v>
      </c>
      <c r="L66" s="42">
        <f t="shared" si="43"/>
        <v>295094.95972027589</v>
      </c>
      <c r="M66" s="42">
        <f t="shared" si="43"/>
        <v>335415.28351188434</v>
      </c>
      <c r="N66" s="42">
        <f t="shared" si="43"/>
        <v>306463.64201724087</v>
      </c>
      <c r="O66" s="42">
        <f t="shared" si="43"/>
        <v>346845.95127775794</v>
      </c>
      <c r="P66" s="42">
        <f t="shared" si="43"/>
        <v>4380256.6605363591</v>
      </c>
    </row>
    <row r="67" spans="2:16" ht="18" customHeight="1" x14ac:dyDescent="0.35">
      <c r="B67" s="3" t="s">
        <v>65</v>
      </c>
      <c r="D67" s="43">
        <f>D66/Revenue!D27</f>
        <v>0.19960339805825242</v>
      </c>
      <c r="E67" s="43">
        <f>E66/Revenue!E27</f>
        <v>5.3754974873350202E-2</v>
      </c>
      <c r="F67" s="43">
        <f>F66/Revenue!F27</f>
        <v>4.6954611034559196E-2</v>
      </c>
      <c r="G67" s="43">
        <f>G66/Revenue!G27</f>
        <v>5.2582514473147803E-2</v>
      </c>
      <c r="H67" s="43">
        <f>H66/Revenue!H27</f>
        <v>4.6125316877983852E-2</v>
      </c>
      <c r="I67" s="43">
        <f>I66/Revenue!I27</f>
        <v>5.1384328005033737E-2</v>
      </c>
      <c r="J67" s="43">
        <f>J66/Revenue!J27</f>
        <v>4.5253307121574042E-2</v>
      </c>
      <c r="K67" s="43">
        <f>K66/Revenue!K27</f>
        <v>5.0167232558360149E-2</v>
      </c>
      <c r="L67" s="43">
        <f>L66/Revenue!L27</f>
        <v>4.4346218580370203E-2</v>
      </c>
      <c r="M67" s="43">
        <f>M66/Revenue!M27</f>
        <v>4.8937347338147634E-2</v>
      </c>
      <c r="N67" s="43">
        <f>N66/Revenue!N27</f>
        <v>4.3410952058274742E-2</v>
      </c>
      <c r="O67" s="43">
        <f>O66/Revenue!O27</f>
        <v>4.7700151324041484E-2</v>
      </c>
      <c r="P67" s="43">
        <f>P66/Revenue!P27</f>
        <v>5.8755381535927749E-2</v>
      </c>
    </row>
    <row r="68" spans="2:16" ht="18" customHeight="1" x14ac:dyDescent="0.4">
      <c r="B68" s="4"/>
    </row>
    <row r="69" spans="2:16" ht="18" customHeight="1" x14ac:dyDescent="0.4">
      <c r="B69" s="4"/>
    </row>
  </sheetData>
  <mergeCells count="3">
    <mergeCell ref="B2:P2"/>
    <mergeCell ref="B20:P20"/>
    <mergeCell ref="B3:P3"/>
  </mergeCells>
  <pageMargins left="0.7" right="0.7" top="0.75" bottom="0.75" header="0.3" footer="0.3"/>
  <pageSetup paperSize="9" orientation="portrait" r:id="rId1"/>
  <ignoredErrors>
    <ignoredError sqref="E6:P7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BFBAF-29FA-4CB1-9B82-851D72BEA475}">
  <dimension ref="A1:P76"/>
  <sheetViews>
    <sheetView showGridLines="0" zoomScaleNormal="100" workbookViewId="0">
      <pane ySplit="2" topLeftCell="A3" activePane="bottomLeft" state="frozen"/>
      <selection pane="bottomLeft" activeCell="G108" sqref="G108"/>
    </sheetView>
  </sheetViews>
  <sheetFormatPr defaultColWidth="10.81640625" defaultRowHeight="14.5" x14ac:dyDescent="0.35"/>
  <cols>
    <col min="1" max="1" width="3" style="1" customWidth="1"/>
    <col min="2" max="2" width="50.81640625" customWidth="1"/>
    <col min="3" max="16" width="16.6328125" customWidth="1"/>
    <col min="18" max="18" width="15.6328125" customWidth="1"/>
  </cols>
  <sheetData>
    <row r="1" spans="2:16" ht="5" customHeight="1" x14ac:dyDescent="0.35"/>
    <row r="2" spans="2:16" ht="25" customHeight="1" x14ac:dyDescent="0.35">
      <c r="B2" s="75" t="s">
        <v>45</v>
      </c>
      <c r="C2" s="76"/>
      <c r="D2" s="76"/>
      <c r="E2" s="76"/>
      <c r="F2" s="76"/>
      <c r="G2" s="76"/>
      <c r="H2" s="76"/>
      <c r="I2" s="77"/>
      <c r="J2" s="77"/>
      <c r="K2" s="77"/>
      <c r="L2" s="77"/>
      <c r="M2" s="77"/>
      <c r="N2" s="77"/>
      <c r="O2" s="77"/>
      <c r="P2" s="77"/>
    </row>
    <row r="3" spans="2:16" ht="17.5" customHeight="1" x14ac:dyDescent="0.35">
      <c r="B3" s="78" t="s">
        <v>20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2:16" ht="17.5" customHeight="1" x14ac:dyDescent="0.4">
      <c r="B4" s="4" t="s">
        <v>114</v>
      </c>
      <c r="C4" s="21" t="s">
        <v>70</v>
      </c>
      <c r="D4" s="21">
        <f>Revenue!D12</f>
        <v>45292</v>
      </c>
      <c r="E4" s="21">
        <f>Revenue!E12</f>
        <v>45323</v>
      </c>
      <c r="F4" s="21">
        <f>Revenue!F12</f>
        <v>45354</v>
      </c>
      <c r="G4" s="21">
        <f>Revenue!G12</f>
        <v>45385</v>
      </c>
      <c r="H4" s="21">
        <f>Revenue!H12</f>
        <v>45416</v>
      </c>
      <c r="I4" s="21">
        <f>Revenue!I12</f>
        <v>45447</v>
      </c>
      <c r="J4" s="21">
        <f>Revenue!J12</f>
        <v>45478</v>
      </c>
      <c r="K4" s="21">
        <f>Revenue!K12</f>
        <v>45509</v>
      </c>
      <c r="L4" s="21">
        <f>Revenue!L12</f>
        <v>45540</v>
      </c>
      <c r="M4" s="21">
        <f>Revenue!M12</f>
        <v>45571</v>
      </c>
      <c r="N4" s="21">
        <f>Revenue!N12</f>
        <v>45602</v>
      </c>
      <c r="O4" s="21">
        <f>Revenue!O12</f>
        <v>45633</v>
      </c>
      <c r="P4" s="12"/>
    </row>
    <row r="5" spans="2:16" ht="17.5" customHeight="1" x14ac:dyDescent="0.35">
      <c r="B5" s="3" t="s">
        <v>36</v>
      </c>
      <c r="C5" s="28">
        <v>5</v>
      </c>
      <c r="D5" s="23">
        <f>+C5</f>
        <v>5</v>
      </c>
      <c r="E5" s="23">
        <f t="shared" ref="E5:O5" si="0">+D5</f>
        <v>5</v>
      </c>
      <c r="F5" s="23">
        <f t="shared" si="0"/>
        <v>5</v>
      </c>
      <c r="G5" s="23">
        <f t="shared" si="0"/>
        <v>5</v>
      </c>
      <c r="H5" s="23">
        <f t="shared" si="0"/>
        <v>5</v>
      </c>
      <c r="I5" s="23">
        <f t="shared" si="0"/>
        <v>5</v>
      </c>
      <c r="J5" s="23">
        <f t="shared" si="0"/>
        <v>5</v>
      </c>
      <c r="K5" s="23">
        <f t="shared" si="0"/>
        <v>5</v>
      </c>
      <c r="L5" s="23">
        <f t="shared" si="0"/>
        <v>5</v>
      </c>
      <c r="M5" s="23">
        <f t="shared" si="0"/>
        <v>5</v>
      </c>
      <c r="N5" s="23">
        <f t="shared" si="0"/>
        <v>5</v>
      </c>
      <c r="O5" s="23">
        <f t="shared" si="0"/>
        <v>5</v>
      </c>
      <c r="P5" s="5"/>
    </row>
    <row r="6" spans="2:16" ht="17.5" customHeight="1" x14ac:dyDescent="0.35">
      <c r="B6" s="3" t="s">
        <v>37</v>
      </c>
      <c r="C6" s="28">
        <v>15</v>
      </c>
      <c r="D6" s="23">
        <f t="shared" ref="D6:O10" si="1">+C6</f>
        <v>15</v>
      </c>
      <c r="E6" s="23">
        <f t="shared" si="1"/>
        <v>15</v>
      </c>
      <c r="F6" s="23">
        <f t="shared" si="1"/>
        <v>15</v>
      </c>
      <c r="G6" s="23">
        <f t="shared" si="1"/>
        <v>15</v>
      </c>
      <c r="H6" s="23">
        <f t="shared" si="1"/>
        <v>15</v>
      </c>
      <c r="I6" s="23">
        <f t="shared" si="1"/>
        <v>15</v>
      </c>
      <c r="J6" s="23">
        <f t="shared" si="1"/>
        <v>15</v>
      </c>
      <c r="K6" s="23">
        <f t="shared" si="1"/>
        <v>15</v>
      </c>
      <c r="L6" s="23">
        <f t="shared" si="1"/>
        <v>15</v>
      </c>
      <c r="M6" s="23">
        <f t="shared" si="1"/>
        <v>15</v>
      </c>
      <c r="N6" s="23">
        <f t="shared" si="1"/>
        <v>15</v>
      </c>
      <c r="O6" s="23">
        <f t="shared" si="1"/>
        <v>15</v>
      </c>
      <c r="P6" s="5"/>
    </row>
    <row r="7" spans="2:16" ht="17.5" customHeight="1" x14ac:dyDescent="0.35">
      <c r="B7" s="3" t="s">
        <v>44</v>
      </c>
      <c r="C7" s="28">
        <v>20</v>
      </c>
      <c r="D7" s="23">
        <f t="shared" si="1"/>
        <v>20</v>
      </c>
      <c r="E7" s="23">
        <f t="shared" si="1"/>
        <v>20</v>
      </c>
      <c r="F7" s="23">
        <f t="shared" si="1"/>
        <v>20</v>
      </c>
      <c r="G7" s="23">
        <f t="shared" si="1"/>
        <v>20</v>
      </c>
      <c r="H7" s="23">
        <f t="shared" si="1"/>
        <v>20</v>
      </c>
      <c r="I7" s="23">
        <f t="shared" si="1"/>
        <v>20</v>
      </c>
      <c r="J7" s="23">
        <f t="shared" si="1"/>
        <v>20</v>
      </c>
      <c r="K7" s="23">
        <f t="shared" si="1"/>
        <v>20</v>
      </c>
      <c r="L7" s="23">
        <f t="shared" si="1"/>
        <v>20</v>
      </c>
      <c r="M7" s="23">
        <f t="shared" si="1"/>
        <v>20</v>
      </c>
      <c r="N7" s="23">
        <f t="shared" si="1"/>
        <v>20</v>
      </c>
      <c r="O7" s="23">
        <f t="shared" si="1"/>
        <v>20</v>
      </c>
      <c r="P7" s="5"/>
    </row>
    <row r="8" spans="2:16" ht="17.5" customHeight="1" x14ac:dyDescent="0.35">
      <c r="B8" s="3" t="s">
        <v>38</v>
      </c>
      <c r="C8" s="28">
        <v>30</v>
      </c>
      <c r="D8" s="23">
        <f t="shared" si="1"/>
        <v>30</v>
      </c>
      <c r="E8" s="23">
        <f t="shared" si="1"/>
        <v>30</v>
      </c>
      <c r="F8" s="23">
        <f t="shared" si="1"/>
        <v>30</v>
      </c>
      <c r="G8" s="23">
        <f t="shared" si="1"/>
        <v>30</v>
      </c>
      <c r="H8" s="23">
        <f t="shared" si="1"/>
        <v>30</v>
      </c>
      <c r="I8" s="23">
        <f t="shared" si="1"/>
        <v>30</v>
      </c>
      <c r="J8" s="23">
        <f t="shared" si="1"/>
        <v>30</v>
      </c>
      <c r="K8" s="23">
        <f t="shared" si="1"/>
        <v>30</v>
      </c>
      <c r="L8" s="23">
        <f t="shared" si="1"/>
        <v>30</v>
      </c>
      <c r="M8" s="23">
        <f t="shared" si="1"/>
        <v>30</v>
      </c>
      <c r="N8" s="23">
        <f t="shared" si="1"/>
        <v>30</v>
      </c>
      <c r="O8" s="23">
        <f t="shared" si="1"/>
        <v>30</v>
      </c>
      <c r="P8" s="5"/>
    </row>
    <row r="9" spans="2:16" ht="17.5" customHeight="1" x14ac:dyDescent="0.35">
      <c r="B9" s="3" t="s">
        <v>39</v>
      </c>
      <c r="C9" s="28">
        <v>7</v>
      </c>
      <c r="D9" s="23">
        <f t="shared" si="1"/>
        <v>7</v>
      </c>
      <c r="E9" s="23">
        <f t="shared" si="1"/>
        <v>7</v>
      </c>
      <c r="F9" s="23">
        <f t="shared" si="1"/>
        <v>7</v>
      </c>
      <c r="G9" s="23">
        <f t="shared" si="1"/>
        <v>7</v>
      </c>
      <c r="H9" s="23">
        <f t="shared" si="1"/>
        <v>7</v>
      </c>
      <c r="I9" s="23">
        <f t="shared" si="1"/>
        <v>7</v>
      </c>
      <c r="J9" s="23">
        <f t="shared" si="1"/>
        <v>7</v>
      </c>
      <c r="K9" s="23">
        <f t="shared" si="1"/>
        <v>7</v>
      </c>
      <c r="L9" s="23">
        <f t="shared" si="1"/>
        <v>7</v>
      </c>
      <c r="M9" s="23">
        <f t="shared" si="1"/>
        <v>7</v>
      </c>
      <c r="N9" s="23">
        <f t="shared" si="1"/>
        <v>7</v>
      </c>
      <c r="O9" s="23">
        <f t="shared" si="1"/>
        <v>7</v>
      </c>
      <c r="P9" s="5"/>
    </row>
    <row r="10" spans="2:16" ht="17.5" customHeight="1" x14ac:dyDescent="0.35">
      <c r="B10" s="3" t="s">
        <v>43</v>
      </c>
      <c r="C10" s="29">
        <v>5</v>
      </c>
      <c r="D10" s="24">
        <f t="shared" si="1"/>
        <v>5</v>
      </c>
      <c r="E10" s="24">
        <f t="shared" si="1"/>
        <v>5</v>
      </c>
      <c r="F10" s="24">
        <f t="shared" si="1"/>
        <v>5</v>
      </c>
      <c r="G10" s="24">
        <f t="shared" si="1"/>
        <v>5</v>
      </c>
      <c r="H10" s="24">
        <f t="shared" si="1"/>
        <v>5</v>
      </c>
      <c r="I10" s="24">
        <f t="shared" si="1"/>
        <v>5</v>
      </c>
      <c r="J10" s="24">
        <f t="shared" si="1"/>
        <v>5</v>
      </c>
      <c r="K10" s="24">
        <f t="shared" si="1"/>
        <v>5</v>
      </c>
      <c r="L10" s="24">
        <f t="shared" si="1"/>
        <v>5</v>
      </c>
      <c r="M10" s="24">
        <f t="shared" si="1"/>
        <v>5</v>
      </c>
      <c r="N10" s="24">
        <f t="shared" si="1"/>
        <v>5</v>
      </c>
      <c r="O10" s="24">
        <f t="shared" si="1"/>
        <v>5</v>
      </c>
      <c r="P10" s="9"/>
    </row>
    <row r="11" spans="2:16" ht="17.5" customHeight="1" x14ac:dyDescent="0.4">
      <c r="B11" s="4" t="s">
        <v>133</v>
      </c>
      <c r="C11" s="25">
        <f>SUM(C5:C10)</f>
        <v>82</v>
      </c>
      <c r="D11" s="25">
        <f>SUM(D5:D10)</f>
        <v>82</v>
      </c>
      <c r="E11" s="25">
        <f t="shared" ref="E11:O11" si="2">SUM(E5:E10)</f>
        <v>82</v>
      </c>
      <c r="F11" s="25">
        <f t="shared" si="2"/>
        <v>82</v>
      </c>
      <c r="G11" s="25">
        <f t="shared" si="2"/>
        <v>82</v>
      </c>
      <c r="H11" s="25">
        <f t="shared" si="2"/>
        <v>82</v>
      </c>
      <c r="I11" s="25">
        <f t="shared" si="2"/>
        <v>82</v>
      </c>
      <c r="J11" s="25">
        <f t="shared" si="2"/>
        <v>82</v>
      </c>
      <c r="K11" s="25">
        <f t="shared" si="2"/>
        <v>82</v>
      </c>
      <c r="L11" s="25">
        <f t="shared" si="2"/>
        <v>82</v>
      </c>
      <c r="M11" s="25">
        <f t="shared" si="2"/>
        <v>82</v>
      </c>
      <c r="N11" s="25">
        <f t="shared" si="2"/>
        <v>82</v>
      </c>
      <c r="O11" s="25">
        <f t="shared" si="2"/>
        <v>82</v>
      </c>
      <c r="P11" s="10"/>
    </row>
    <row r="12" spans="2:16" ht="17.5" customHeight="1" x14ac:dyDescent="0.4">
      <c r="B12" s="3" t="s">
        <v>24</v>
      </c>
      <c r="C12" s="30"/>
      <c r="D12" s="23">
        <f>D11-C11</f>
        <v>0</v>
      </c>
      <c r="E12" s="23">
        <f>E11-D11</f>
        <v>0</v>
      </c>
      <c r="F12" s="23">
        <f t="shared" ref="F12:O12" si="3">F11-E11</f>
        <v>0</v>
      </c>
      <c r="G12" s="23">
        <f t="shared" si="3"/>
        <v>0</v>
      </c>
      <c r="H12" s="23">
        <f t="shared" si="3"/>
        <v>0</v>
      </c>
      <c r="I12" s="23">
        <f t="shared" si="3"/>
        <v>0</v>
      </c>
      <c r="J12" s="23">
        <f t="shared" si="3"/>
        <v>0</v>
      </c>
      <c r="K12" s="23">
        <f t="shared" si="3"/>
        <v>0</v>
      </c>
      <c r="L12" s="23">
        <f t="shared" si="3"/>
        <v>0</v>
      </c>
      <c r="M12" s="23">
        <f t="shared" si="3"/>
        <v>0</v>
      </c>
      <c r="N12" s="23">
        <f t="shared" si="3"/>
        <v>0</v>
      </c>
      <c r="O12" s="23">
        <f t="shared" si="3"/>
        <v>0</v>
      </c>
      <c r="P12" s="10"/>
    </row>
    <row r="13" spans="2:16" ht="17.5" customHeight="1" x14ac:dyDescent="0.35">
      <c r="B13" s="3"/>
      <c r="C13" s="30" t="s">
        <v>13</v>
      </c>
      <c r="D13" s="30" t="s">
        <v>13</v>
      </c>
      <c r="E13" s="8"/>
      <c r="F13" s="3"/>
      <c r="G13" s="3"/>
      <c r="I13" s="17"/>
      <c r="J13" s="8"/>
      <c r="K13" s="8"/>
      <c r="L13" s="8"/>
      <c r="M13" s="8"/>
      <c r="N13" s="8"/>
      <c r="O13" s="8"/>
    </row>
    <row r="14" spans="2:16" ht="17.5" customHeight="1" x14ac:dyDescent="0.4">
      <c r="B14" s="4" t="s">
        <v>40</v>
      </c>
      <c r="C14" s="34" t="s">
        <v>41</v>
      </c>
      <c r="D14" s="35" t="s">
        <v>42</v>
      </c>
      <c r="E14" s="18"/>
      <c r="L14" s="4"/>
      <c r="M14" s="3"/>
      <c r="O14" s="30"/>
      <c r="P14" s="19"/>
    </row>
    <row r="15" spans="2:16" ht="17.5" customHeight="1" x14ac:dyDescent="0.35">
      <c r="B15" s="3" t="str">
        <f>B5</f>
        <v>Vice-President</v>
      </c>
      <c r="C15" s="2">
        <v>200000</v>
      </c>
      <c r="D15" s="31">
        <v>0.25</v>
      </c>
      <c r="E15" s="5"/>
      <c r="L15" s="17"/>
      <c r="M15" s="3"/>
      <c r="O15" s="31"/>
      <c r="P15" s="5"/>
    </row>
    <row r="16" spans="2:16" ht="17.5" customHeight="1" x14ac:dyDescent="0.35">
      <c r="B16" s="3" t="str">
        <f t="shared" ref="B16:B20" si="4">B6</f>
        <v>Manager</v>
      </c>
      <c r="C16" s="2">
        <v>75000</v>
      </c>
      <c r="D16" s="31">
        <v>0.2</v>
      </c>
      <c r="E16" s="5"/>
      <c r="L16" s="17"/>
      <c r="M16" s="3"/>
      <c r="O16" s="31"/>
      <c r="P16" s="5"/>
    </row>
    <row r="17" spans="2:16" ht="17.5" customHeight="1" x14ac:dyDescent="0.35">
      <c r="B17" s="3" t="str">
        <f t="shared" si="4"/>
        <v>Supervisor</v>
      </c>
      <c r="C17" s="2">
        <v>50000</v>
      </c>
      <c r="D17" s="31">
        <v>0.2</v>
      </c>
      <c r="E17" s="5"/>
      <c r="L17" s="17"/>
      <c r="M17" s="3"/>
      <c r="O17" s="31"/>
      <c r="P17" s="5"/>
    </row>
    <row r="18" spans="2:16" ht="17.5" customHeight="1" x14ac:dyDescent="0.35">
      <c r="B18" s="3" t="str">
        <f t="shared" si="4"/>
        <v>Analyst</v>
      </c>
      <c r="C18" s="2">
        <v>40000</v>
      </c>
      <c r="D18" s="31">
        <v>0.1</v>
      </c>
      <c r="E18" s="5"/>
      <c r="L18" s="17"/>
      <c r="M18" s="3"/>
      <c r="O18" s="31"/>
      <c r="P18" s="5"/>
    </row>
    <row r="19" spans="2:16" ht="17.5" customHeight="1" x14ac:dyDescent="0.35">
      <c r="B19" s="3" t="str">
        <f t="shared" si="4"/>
        <v>Admin. / Support</v>
      </c>
      <c r="C19" s="2">
        <v>30000</v>
      </c>
      <c r="D19" s="31">
        <v>0.05</v>
      </c>
      <c r="E19" s="5"/>
      <c r="L19" s="3"/>
      <c r="M19" s="3"/>
      <c r="O19" s="32"/>
      <c r="P19" s="5"/>
    </row>
    <row r="20" spans="2:16" ht="17.5" customHeight="1" x14ac:dyDescent="0.4">
      <c r="B20" s="3" t="str">
        <f t="shared" si="4"/>
        <v>Outside Contractors</v>
      </c>
      <c r="C20" s="2">
        <v>45000</v>
      </c>
      <c r="D20" s="31">
        <v>0</v>
      </c>
      <c r="E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2:16" ht="17.5" customHeight="1" x14ac:dyDescent="0.4">
      <c r="B21" s="3"/>
      <c r="C21" s="2"/>
      <c r="D21" s="11"/>
      <c r="E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2:16" ht="17.5" customHeight="1" x14ac:dyDescent="0.4">
      <c r="B22" s="4" t="s">
        <v>131</v>
      </c>
      <c r="C22" s="18" t="s">
        <v>130</v>
      </c>
      <c r="D22" s="4" t="s">
        <v>132</v>
      </c>
      <c r="E22" s="18"/>
      <c r="F22" s="18" t="s">
        <v>130</v>
      </c>
      <c r="G22" s="18"/>
      <c r="H22" s="10"/>
      <c r="I22" s="10"/>
      <c r="J22" s="10"/>
      <c r="K22" s="10"/>
      <c r="L22" s="10"/>
      <c r="M22" s="10"/>
      <c r="N22" s="10"/>
      <c r="O22" s="10"/>
      <c r="P22" s="10"/>
    </row>
    <row r="23" spans="2:16" ht="17.5" customHeight="1" x14ac:dyDescent="0.4">
      <c r="B23" s="3" t="s">
        <v>47</v>
      </c>
      <c r="C23" s="31">
        <v>0.03</v>
      </c>
      <c r="D23" s="3" t="s">
        <v>52</v>
      </c>
      <c r="F23" s="31">
        <v>0</v>
      </c>
      <c r="G23" s="31"/>
      <c r="H23" s="10"/>
      <c r="I23" s="10"/>
      <c r="J23" s="10"/>
      <c r="K23" s="10"/>
      <c r="L23" s="10"/>
      <c r="M23" s="10"/>
      <c r="N23" s="10"/>
      <c r="O23" s="10"/>
      <c r="P23" s="10"/>
    </row>
    <row r="24" spans="2:16" ht="17.5" customHeight="1" x14ac:dyDescent="0.4">
      <c r="B24" s="3" t="s">
        <v>48</v>
      </c>
      <c r="C24" s="31">
        <v>0.03</v>
      </c>
      <c r="D24" s="3" t="s">
        <v>57</v>
      </c>
      <c r="F24" s="31">
        <v>0</v>
      </c>
      <c r="G24" s="31"/>
      <c r="H24" s="10"/>
      <c r="I24" s="10"/>
      <c r="J24" s="10"/>
      <c r="K24" s="10"/>
      <c r="L24" s="10"/>
      <c r="M24" s="10"/>
      <c r="N24" s="10"/>
      <c r="O24" s="10"/>
      <c r="P24" s="10"/>
    </row>
    <row r="25" spans="2:16" ht="17.5" customHeight="1" x14ac:dyDescent="0.4">
      <c r="B25" s="3" t="s">
        <v>49</v>
      </c>
      <c r="C25" s="31">
        <v>0.01</v>
      </c>
      <c r="D25" s="3" t="s">
        <v>53</v>
      </c>
      <c r="F25" s="31">
        <v>0.03</v>
      </c>
      <c r="G25" s="31"/>
      <c r="H25" s="10"/>
      <c r="I25" s="10"/>
      <c r="J25" s="10"/>
      <c r="K25" s="10"/>
      <c r="L25" s="10"/>
      <c r="M25" s="10"/>
      <c r="N25" s="10"/>
      <c r="O25" s="10"/>
      <c r="P25" s="10"/>
    </row>
    <row r="26" spans="2:16" ht="17.5" customHeight="1" x14ac:dyDescent="0.4">
      <c r="B26" s="3" t="s">
        <v>50</v>
      </c>
      <c r="C26" s="31">
        <v>0.01</v>
      </c>
      <c r="D26" s="3" t="s">
        <v>54</v>
      </c>
      <c r="F26" s="31">
        <v>0.03</v>
      </c>
      <c r="G26" s="31"/>
      <c r="H26" s="10"/>
      <c r="I26" s="10"/>
      <c r="J26" s="10"/>
      <c r="K26" s="10"/>
      <c r="L26" s="10"/>
      <c r="M26" s="10"/>
      <c r="N26" s="10"/>
      <c r="O26" s="10"/>
      <c r="P26" s="10"/>
    </row>
    <row r="27" spans="2:16" ht="17.5" customHeight="1" x14ac:dyDescent="0.4">
      <c r="B27" s="13" t="s">
        <v>127</v>
      </c>
      <c r="C27" s="31">
        <v>0.01</v>
      </c>
      <c r="D27" s="3" t="s">
        <v>55</v>
      </c>
      <c r="F27" s="31">
        <v>0.05</v>
      </c>
      <c r="G27" s="31"/>
      <c r="H27" s="10"/>
      <c r="I27" s="10"/>
      <c r="J27" s="10"/>
      <c r="K27" s="10"/>
      <c r="L27" s="10"/>
      <c r="M27" s="10"/>
      <c r="N27" s="10"/>
      <c r="O27" s="10"/>
      <c r="P27" s="10"/>
    </row>
    <row r="28" spans="2:16" ht="18" x14ac:dyDescent="0.4">
      <c r="B28" s="4"/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2:16" ht="17.5" customHeight="1" x14ac:dyDescent="0.35">
      <c r="B29" s="78" t="s">
        <v>5</v>
      </c>
      <c r="C29" s="76"/>
      <c r="D29" s="76"/>
      <c r="E29" s="76"/>
      <c r="F29" s="76"/>
      <c r="G29" s="76"/>
      <c r="H29" s="76"/>
      <c r="I29" s="77"/>
      <c r="J29" s="77"/>
      <c r="K29" s="77"/>
      <c r="L29" s="77"/>
      <c r="M29" s="77"/>
      <c r="N29" s="77"/>
      <c r="O29" s="77"/>
      <c r="P29" s="77"/>
    </row>
    <row r="30" spans="2:16" ht="18" x14ac:dyDescent="0.4">
      <c r="B30" s="4" t="s">
        <v>97</v>
      </c>
      <c r="C30" s="21" t="s">
        <v>134</v>
      </c>
      <c r="D30" s="21">
        <f t="shared" ref="D30:O30" si="5">D4</f>
        <v>45292</v>
      </c>
      <c r="E30" s="21">
        <f t="shared" si="5"/>
        <v>45323</v>
      </c>
      <c r="F30" s="21">
        <f t="shared" si="5"/>
        <v>45354</v>
      </c>
      <c r="G30" s="21">
        <f t="shared" si="5"/>
        <v>45385</v>
      </c>
      <c r="H30" s="21">
        <f t="shared" si="5"/>
        <v>45416</v>
      </c>
      <c r="I30" s="21">
        <f t="shared" si="5"/>
        <v>45447</v>
      </c>
      <c r="J30" s="21">
        <f t="shared" si="5"/>
        <v>45478</v>
      </c>
      <c r="K30" s="21">
        <f t="shared" si="5"/>
        <v>45509</v>
      </c>
      <c r="L30" s="21">
        <f t="shared" si="5"/>
        <v>45540</v>
      </c>
      <c r="M30" s="21">
        <f t="shared" si="5"/>
        <v>45571</v>
      </c>
      <c r="N30" s="21">
        <f t="shared" si="5"/>
        <v>45602</v>
      </c>
      <c r="O30" s="21">
        <f t="shared" si="5"/>
        <v>45633</v>
      </c>
      <c r="P30" s="21" t="s">
        <v>16</v>
      </c>
    </row>
    <row r="31" spans="2:16" ht="17.5" x14ac:dyDescent="0.35">
      <c r="B31" s="14" t="s">
        <v>99</v>
      </c>
      <c r="C31" s="26" t="s">
        <v>94</v>
      </c>
      <c r="D31" s="40">
        <f t="shared" ref="D31:O31" si="6">SUMPRODUCT(D5:D10,$C$15:$C$20)*factor</f>
        <v>396666.66666666645</v>
      </c>
      <c r="E31" s="40">
        <f t="shared" si="6"/>
        <v>396666.66666666645</v>
      </c>
      <c r="F31" s="40">
        <f t="shared" si="6"/>
        <v>396666.66666666645</v>
      </c>
      <c r="G31" s="40">
        <f t="shared" si="6"/>
        <v>396666.66666666645</v>
      </c>
      <c r="H31" s="40">
        <f t="shared" si="6"/>
        <v>396666.66666666645</v>
      </c>
      <c r="I31" s="40">
        <f t="shared" si="6"/>
        <v>396666.66666666645</v>
      </c>
      <c r="J31" s="40">
        <f t="shared" si="6"/>
        <v>396666.66666666645</v>
      </c>
      <c r="K31" s="40">
        <f t="shared" si="6"/>
        <v>396666.66666666645</v>
      </c>
      <c r="L31" s="40">
        <f t="shared" si="6"/>
        <v>396666.66666666645</v>
      </c>
      <c r="M31" s="40">
        <f t="shared" si="6"/>
        <v>396666.66666666645</v>
      </c>
      <c r="N31" s="40">
        <f t="shared" si="6"/>
        <v>396666.66666666645</v>
      </c>
      <c r="O31" s="40">
        <f t="shared" si="6"/>
        <v>396666.66666666645</v>
      </c>
      <c r="P31" s="40">
        <f t="shared" ref="P31:P34" si="7">SUM(D31:O31)</f>
        <v>4759999.9999999972</v>
      </c>
    </row>
    <row r="32" spans="2:16" ht="17.5" x14ac:dyDescent="0.35">
      <c r="B32" s="14" t="s">
        <v>56</v>
      </c>
      <c r="C32" s="69" t="s">
        <v>68</v>
      </c>
      <c r="D32" s="40">
        <f>SUMPRODUCT(C5:C10,C15:C20,D15:D20)</f>
        <v>805500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f t="shared" si="7"/>
        <v>805500</v>
      </c>
    </row>
    <row r="33" spans="2:16" ht="17.5" x14ac:dyDescent="0.35">
      <c r="B33" s="14" t="s">
        <v>129</v>
      </c>
      <c r="C33" s="15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>
        <f t="shared" si="7"/>
        <v>0</v>
      </c>
    </row>
    <row r="34" spans="2:16" ht="17.5" x14ac:dyDescent="0.35">
      <c r="B34" s="14" t="s">
        <v>138</v>
      </c>
      <c r="C34" s="26">
        <v>0.12</v>
      </c>
      <c r="D34" s="41">
        <f>SUM(D31:D33)*$C$34</f>
        <v>144259.99999999997</v>
      </c>
      <c r="E34" s="41">
        <f t="shared" ref="E34:O34" si="8">SUM(E31:E33)*$C$34</f>
        <v>47599.999999999971</v>
      </c>
      <c r="F34" s="41">
        <f t="shared" si="8"/>
        <v>47599.999999999971</v>
      </c>
      <c r="G34" s="41">
        <f t="shared" si="8"/>
        <v>47599.999999999971</v>
      </c>
      <c r="H34" s="41">
        <f t="shared" si="8"/>
        <v>47599.999999999971</v>
      </c>
      <c r="I34" s="41">
        <f t="shared" si="8"/>
        <v>47599.999999999971</v>
      </c>
      <c r="J34" s="41">
        <f t="shared" si="8"/>
        <v>47599.999999999971</v>
      </c>
      <c r="K34" s="41">
        <f t="shared" si="8"/>
        <v>47599.999999999971</v>
      </c>
      <c r="L34" s="41">
        <f t="shared" si="8"/>
        <v>47599.999999999971</v>
      </c>
      <c r="M34" s="41">
        <f t="shared" si="8"/>
        <v>47599.999999999971</v>
      </c>
      <c r="N34" s="41">
        <f t="shared" si="8"/>
        <v>47599.999999999971</v>
      </c>
      <c r="O34" s="41">
        <f t="shared" si="8"/>
        <v>47599.999999999971</v>
      </c>
      <c r="P34" s="41">
        <f t="shared" si="7"/>
        <v>667859.99999999988</v>
      </c>
    </row>
    <row r="35" spans="2:16" ht="18" x14ac:dyDescent="0.4">
      <c r="B35" s="4" t="str">
        <f>+"Total "&amp;B30</f>
        <v xml:space="preserve">Total Payroll </v>
      </c>
      <c r="D35" s="42">
        <f>SUM(D31:D34)</f>
        <v>1346426.6666666665</v>
      </c>
      <c r="E35" s="42">
        <f t="shared" ref="E35:P35" si="9">SUM(E31:E34)</f>
        <v>444266.6666666664</v>
      </c>
      <c r="F35" s="42">
        <f t="shared" si="9"/>
        <v>444266.6666666664</v>
      </c>
      <c r="G35" s="42">
        <f t="shared" si="9"/>
        <v>444266.6666666664</v>
      </c>
      <c r="H35" s="42">
        <f t="shared" si="9"/>
        <v>444266.6666666664</v>
      </c>
      <c r="I35" s="42">
        <f t="shared" si="9"/>
        <v>444266.6666666664</v>
      </c>
      <c r="J35" s="42">
        <f t="shared" si="9"/>
        <v>444266.6666666664</v>
      </c>
      <c r="K35" s="42">
        <f t="shared" si="9"/>
        <v>444266.6666666664</v>
      </c>
      <c r="L35" s="42">
        <f t="shared" si="9"/>
        <v>444266.6666666664</v>
      </c>
      <c r="M35" s="42">
        <f t="shared" si="9"/>
        <v>444266.6666666664</v>
      </c>
      <c r="N35" s="42">
        <f t="shared" si="9"/>
        <v>444266.6666666664</v>
      </c>
      <c r="O35" s="42">
        <f t="shared" si="9"/>
        <v>444266.6666666664</v>
      </c>
      <c r="P35" s="42">
        <f t="shared" si="9"/>
        <v>6233359.9999999972</v>
      </c>
    </row>
    <row r="36" spans="2:16" ht="18" customHeight="1" x14ac:dyDescent="0.4">
      <c r="B36" s="4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2:16" ht="18" customHeight="1" x14ac:dyDescent="0.4">
      <c r="B37" s="4" t="s">
        <v>28</v>
      </c>
      <c r="C37" s="22" t="s">
        <v>13</v>
      </c>
    </row>
    <row r="38" spans="2:16" ht="18" customHeight="1" x14ac:dyDescent="0.35">
      <c r="B38" s="14" t="s">
        <v>33</v>
      </c>
      <c r="C38" s="2">
        <v>15000</v>
      </c>
      <c r="D38" s="40">
        <f>+D11*C38</f>
        <v>1230000</v>
      </c>
      <c r="E38" s="40">
        <f t="shared" ref="E38:O38" si="10">E12*$C$38</f>
        <v>0</v>
      </c>
      <c r="F38" s="40">
        <f t="shared" si="10"/>
        <v>0</v>
      </c>
      <c r="G38" s="40">
        <f t="shared" si="10"/>
        <v>0</v>
      </c>
      <c r="H38" s="40">
        <f t="shared" si="10"/>
        <v>0</v>
      </c>
      <c r="I38" s="40">
        <f t="shared" si="10"/>
        <v>0</v>
      </c>
      <c r="J38" s="40">
        <f t="shared" si="10"/>
        <v>0</v>
      </c>
      <c r="K38" s="40">
        <f t="shared" si="10"/>
        <v>0</v>
      </c>
      <c r="L38" s="40">
        <f t="shared" si="10"/>
        <v>0</v>
      </c>
      <c r="M38" s="40">
        <f t="shared" si="10"/>
        <v>0</v>
      </c>
      <c r="N38" s="40">
        <f t="shared" si="10"/>
        <v>0</v>
      </c>
      <c r="O38" s="40">
        <f t="shared" si="10"/>
        <v>0</v>
      </c>
      <c r="P38" s="40">
        <f t="shared" ref="P38:P40" si="11">SUM(D38:O38)</f>
        <v>1230000</v>
      </c>
    </row>
    <row r="39" spans="2:16" ht="18" customHeight="1" x14ac:dyDescent="0.35">
      <c r="B39" s="14" t="s">
        <v>34</v>
      </c>
      <c r="C39" s="26">
        <v>4.7E-2</v>
      </c>
      <c r="D39" s="40">
        <f>+SUM(D31:D33)*$C$39</f>
        <v>56501.833333333328</v>
      </c>
      <c r="E39" s="40">
        <f t="shared" ref="E39:O39" si="12">+SUM(E31:E33)*$C$39</f>
        <v>18643.333333333325</v>
      </c>
      <c r="F39" s="40">
        <f t="shared" si="12"/>
        <v>18643.333333333325</v>
      </c>
      <c r="G39" s="40">
        <f t="shared" si="12"/>
        <v>18643.333333333325</v>
      </c>
      <c r="H39" s="40">
        <f t="shared" si="12"/>
        <v>18643.333333333325</v>
      </c>
      <c r="I39" s="40">
        <f t="shared" si="12"/>
        <v>18643.333333333325</v>
      </c>
      <c r="J39" s="40">
        <f t="shared" si="12"/>
        <v>18643.333333333325</v>
      </c>
      <c r="K39" s="40">
        <f t="shared" si="12"/>
        <v>18643.333333333325</v>
      </c>
      <c r="L39" s="40">
        <f t="shared" si="12"/>
        <v>18643.333333333325</v>
      </c>
      <c r="M39" s="40">
        <f t="shared" si="12"/>
        <v>18643.333333333325</v>
      </c>
      <c r="N39" s="40">
        <f t="shared" si="12"/>
        <v>18643.333333333325</v>
      </c>
      <c r="O39" s="40">
        <f t="shared" si="12"/>
        <v>18643.333333333325</v>
      </c>
      <c r="P39" s="40">
        <f t="shared" si="11"/>
        <v>261578.49999999983</v>
      </c>
    </row>
    <row r="40" spans="2:16" ht="18" customHeight="1" x14ac:dyDescent="0.35">
      <c r="B40" s="14" t="s">
        <v>59</v>
      </c>
      <c r="C40" s="36">
        <v>1500</v>
      </c>
      <c r="D40" s="41">
        <f t="shared" ref="D40:O40" si="13">D11*$C$40*factor</f>
        <v>10249.999999999995</v>
      </c>
      <c r="E40" s="41">
        <f t="shared" si="13"/>
        <v>10249.999999999995</v>
      </c>
      <c r="F40" s="41">
        <f t="shared" si="13"/>
        <v>10249.999999999995</v>
      </c>
      <c r="G40" s="41">
        <f t="shared" si="13"/>
        <v>10249.999999999995</v>
      </c>
      <c r="H40" s="41">
        <f t="shared" si="13"/>
        <v>10249.999999999995</v>
      </c>
      <c r="I40" s="41">
        <f t="shared" si="13"/>
        <v>10249.999999999995</v>
      </c>
      <c r="J40" s="41">
        <f t="shared" si="13"/>
        <v>10249.999999999995</v>
      </c>
      <c r="K40" s="41">
        <f t="shared" si="13"/>
        <v>10249.999999999995</v>
      </c>
      <c r="L40" s="41">
        <f t="shared" si="13"/>
        <v>10249.999999999995</v>
      </c>
      <c r="M40" s="41">
        <f t="shared" si="13"/>
        <v>10249.999999999995</v>
      </c>
      <c r="N40" s="41">
        <f t="shared" si="13"/>
        <v>10249.999999999995</v>
      </c>
      <c r="O40" s="41">
        <f t="shared" si="13"/>
        <v>10249.999999999995</v>
      </c>
      <c r="P40" s="41">
        <f t="shared" si="11"/>
        <v>122999.99999999996</v>
      </c>
    </row>
    <row r="41" spans="2:16" ht="18" customHeight="1" x14ac:dyDescent="0.4">
      <c r="B41" s="4" t="str">
        <f>+"Total "&amp;B37</f>
        <v>Total Benefits &amp; Perks</v>
      </c>
      <c r="C41" s="42"/>
      <c r="D41" s="42">
        <f t="shared" ref="D41:P41" si="14">SUM(D38:D40)</f>
        <v>1296751.8333333333</v>
      </c>
      <c r="E41" s="42">
        <f t="shared" si="14"/>
        <v>28893.333333333321</v>
      </c>
      <c r="F41" s="42">
        <f t="shared" si="14"/>
        <v>28893.333333333321</v>
      </c>
      <c r="G41" s="42">
        <f t="shared" si="14"/>
        <v>28893.333333333321</v>
      </c>
      <c r="H41" s="42">
        <f t="shared" si="14"/>
        <v>28893.333333333321</v>
      </c>
      <c r="I41" s="42">
        <f t="shared" si="14"/>
        <v>28893.333333333321</v>
      </c>
      <c r="J41" s="42">
        <f t="shared" si="14"/>
        <v>28893.333333333321</v>
      </c>
      <c r="K41" s="42">
        <f t="shared" si="14"/>
        <v>28893.333333333321</v>
      </c>
      <c r="L41" s="42">
        <f t="shared" si="14"/>
        <v>28893.333333333321</v>
      </c>
      <c r="M41" s="42">
        <f t="shared" si="14"/>
        <v>28893.333333333321</v>
      </c>
      <c r="N41" s="42">
        <f t="shared" si="14"/>
        <v>28893.333333333321</v>
      </c>
      <c r="O41" s="42">
        <f t="shared" si="14"/>
        <v>28893.333333333321</v>
      </c>
      <c r="P41" s="42">
        <f t="shared" si="14"/>
        <v>1614578.4999999998</v>
      </c>
    </row>
    <row r="42" spans="2:16" ht="18" customHeight="1" x14ac:dyDescent="0.4">
      <c r="B42" s="4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2:16" ht="18" customHeight="1" x14ac:dyDescent="0.4">
      <c r="B43" s="4" t="s">
        <v>29</v>
      </c>
      <c r="C43" s="22" t="s">
        <v>13</v>
      </c>
    </row>
    <row r="44" spans="2:16" ht="18" customHeight="1" x14ac:dyDescent="0.35">
      <c r="B44" s="14" t="s">
        <v>30</v>
      </c>
      <c r="C44" s="2">
        <v>500</v>
      </c>
      <c r="D44" s="40">
        <f t="shared" ref="D44:O44" si="15">+D11*$C$44*factor</f>
        <v>3416.6666666666647</v>
      </c>
      <c r="E44" s="40">
        <f t="shared" si="15"/>
        <v>3416.6666666666647</v>
      </c>
      <c r="F44" s="40">
        <f t="shared" si="15"/>
        <v>3416.6666666666647</v>
      </c>
      <c r="G44" s="40">
        <f t="shared" si="15"/>
        <v>3416.6666666666647</v>
      </c>
      <c r="H44" s="40">
        <f t="shared" si="15"/>
        <v>3416.6666666666647</v>
      </c>
      <c r="I44" s="40">
        <f t="shared" si="15"/>
        <v>3416.6666666666647</v>
      </c>
      <c r="J44" s="40">
        <f t="shared" si="15"/>
        <v>3416.6666666666647</v>
      </c>
      <c r="K44" s="40">
        <f t="shared" si="15"/>
        <v>3416.6666666666647</v>
      </c>
      <c r="L44" s="40">
        <f t="shared" si="15"/>
        <v>3416.6666666666647</v>
      </c>
      <c r="M44" s="40">
        <f t="shared" si="15"/>
        <v>3416.6666666666647</v>
      </c>
      <c r="N44" s="40">
        <f t="shared" si="15"/>
        <v>3416.6666666666647</v>
      </c>
      <c r="O44" s="40">
        <f t="shared" si="15"/>
        <v>3416.6666666666647</v>
      </c>
      <c r="P44" s="40">
        <f t="shared" ref="P44:P46" si="16">SUM(D44:O44)</f>
        <v>40999.999999999978</v>
      </c>
    </row>
    <row r="45" spans="2:16" s="1" customFormat="1" ht="18" customHeight="1" x14ac:dyDescent="0.35">
      <c r="B45" s="20" t="s">
        <v>31</v>
      </c>
      <c r="C45" s="2">
        <v>500</v>
      </c>
      <c r="D45" s="40">
        <f t="shared" ref="D45:O45" si="17">+D11*$C$45*factor</f>
        <v>3416.6666666666647</v>
      </c>
      <c r="E45" s="40">
        <f t="shared" si="17"/>
        <v>3416.6666666666647</v>
      </c>
      <c r="F45" s="40">
        <f t="shared" si="17"/>
        <v>3416.6666666666647</v>
      </c>
      <c r="G45" s="40">
        <f t="shared" si="17"/>
        <v>3416.6666666666647</v>
      </c>
      <c r="H45" s="40">
        <f t="shared" si="17"/>
        <v>3416.6666666666647</v>
      </c>
      <c r="I45" s="40">
        <f t="shared" si="17"/>
        <v>3416.6666666666647</v>
      </c>
      <c r="J45" s="40">
        <f t="shared" si="17"/>
        <v>3416.6666666666647</v>
      </c>
      <c r="K45" s="40">
        <f t="shared" si="17"/>
        <v>3416.6666666666647</v>
      </c>
      <c r="L45" s="40">
        <f t="shared" si="17"/>
        <v>3416.6666666666647</v>
      </c>
      <c r="M45" s="40">
        <f t="shared" si="17"/>
        <v>3416.6666666666647</v>
      </c>
      <c r="N45" s="40">
        <f t="shared" si="17"/>
        <v>3416.6666666666647</v>
      </c>
      <c r="O45" s="40">
        <f t="shared" si="17"/>
        <v>3416.6666666666647</v>
      </c>
      <c r="P45" s="40">
        <f t="shared" si="16"/>
        <v>40999.999999999978</v>
      </c>
    </row>
    <row r="46" spans="2:16" ht="18" customHeight="1" x14ac:dyDescent="0.35">
      <c r="B46" s="14" t="s">
        <v>32</v>
      </c>
      <c r="C46" s="36">
        <v>300</v>
      </c>
      <c r="D46" s="41">
        <f t="shared" ref="D46:O46" si="18">+D11*$C$46*factor</f>
        <v>2049.9999999999986</v>
      </c>
      <c r="E46" s="41">
        <f t="shared" si="18"/>
        <v>2049.9999999999986</v>
      </c>
      <c r="F46" s="41">
        <f t="shared" si="18"/>
        <v>2049.9999999999986</v>
      </c>
      <c r="G46" s="41">
        <f t="shared" si="18"/>
        <v>2049.9999999999986</v>
      </c>
      <c r="H46" s="41">
        <f t="shared" si="18"/>
        <v>2049.9999999999986</v>
      </c>
      <c r="I46" s="41">
        <f t="shared" si="18"/>
        <v>2049.9999999999986</v>
      </c>
      <c r="J46" s="41">
        <f t="shared" si="18"/>
        <v>2049.9999999999986</v>
      </c>
      <c r="K46" s="41">
        <f t="shared" si="18"/>
        <v>2049.9999999999986</v>
      </c>
      <c r="L46" s="41">
        <f t="shared" si="18"/>
        <v>2049.9999999999986</v>
      </c>
      <c r="M46" s="41">
        <f t="shared" si="18"/>
        <v>2049.9999999999986</v>
      </c>
      <c r="N46" s="41">
        <f t="shared" si="18"/>
        <v>2049.9999999999986</v>
      </c>
      <c r="O46" s="41">
        <f t="shared" si="18"/>
        <v>2049.9999999999986</v>
      </c>
      <c r="P46" s="41">
        <f t="shared" si="16"/>
        <v>24599.999999999989</v>
      </c>
    </row>
    <row r="47" spans="2:16" ht="18" x14ac:dyDescent="0.4">
      <c r="B47" s="4" t="str">
        <f>+"Total "&amp;B43</f>
        <v>Total Travel &amp; Lodging</v>
      </c>
      <c r="C47" s="42">
        <f t="shared" ref="C47:D47" si="19">SUM(C44:C46)</f>
        <v>1300</v>
      </c>
      <c r="D47" s="42">
        <f t="shared" si="19"/>
        <v>8883.3333333333285</v>
      </c>
      <c r="E47" s="42">
        <f t="shared" ref="E47" si="20">SUM(E44:E46)</f>
        <v>8883.3333333333285</v>
      </c>
      <c r="F47" s="42">
        <f t="shared" ref="F47" si="21">SUM(F44:F46)</f>
        <v>8883.3333333333285</v>
      </c>
      <c r="G47" s="42">
        <f t="shared" ref="G47" si="22">SUM(G44:G46)</f>
        <v>8883.3333333333285</v>
      </c>
      <c r="H47" s="42">
        <f t="shared" ref="H47" si="23">SUM(H44:H46)</f>
        <v>8883.3333333333285</v>
      </c>
      <c r="I47" s="42">
        <f t="shared" ref="I47" si="24">SUM(I44:I46)</f>
        <v>8883.3333333333285</v>
      </c>
      <c r="J47" s="42">
        <f t="shared" ref="J47" si="25">SUM(J44:J46)</f>
        <v>8883.3333333333285</v>
      </c>
      <c r="K47" s="42">
        <f t="shared" ref="K47" si="26">SUM(K44:K46)</f>
        <v>8883.3333333333285</v>
      </c>
      <c r="L47" s="42">
        <f t="shared" ref="L47" si="27">SUM(L44:L46)</f>
        <v>8883.3333333333285</v>
      </c>
      <c r="M47" s="42">
        <f t="shared" ref="M47" si="28">SUM(M44:M46)</f>
        <v>8883.3333333333285</v>
      </c>
      <c r="N47" s="42">
        <f t="shared" ref="N47" si="29">SUM(N44:N46)</f>
        <v>8883.3333333333285</v>
      </c>
      <c r="O47" s="42">
        <f t="shared" ref="O47:P47" si="30">SUM(O44:O46)</f>
        <v>8883.3333333333285</v>
      </c>
      <c r="P47" s="42">
        <f t="shared" si="30"/>
        <v>106599.99999999994</v>
      </c>
    </row>
    <row r="48" spans="2:16" ht="18" x14ac:dyDescent="0.4">
      <c r="B48" s="4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</row>
    <row r="49" spans="2:16" ht="18" x14ac:dyDescent="0.4">
      <c r="B49" s="4" t="s">
        <v>46</v>
      </c>
      <c r="C49" s="21" t="s">
        <v>66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6" ht="17.5" x14ac:dyDescent="0.35">
      <c r="B50" s="14" t="str">
        <f>+B23</f>
        <v xml:space="preserve">Display </v>
      </c>
      <c r="C50" s="2">
        <v>2000000</v>
      </c>
      <c r="D50" s="40">
        <f t="shared" ref="D50:O50" si="31">+$C$50*(1+$C$23)*factor</f>
        <v>171666.66666666657</v>
      </c>
      <c r="E50" s="40">
        <f t="shared" si="31"/>
        <v>171666.66666666657</v>
      </c>
      <c r="F50" s="40">
        <f t="shared" si="31"/>
        <v>171666.66666666657</v>
      </c>
      <c r="G50" s="40">
        <f t="shared" si="31"/>
        <v>171666.66666666657</v>
      </c>
      <c r="H50" s="40">
        <f t="shared" si="31"/>
        <v>171666.66666666657</v>
      </c>
      <c r="I50" s="40">
        <f t="shared" si="31"/>
        <v>171666.66666666657</v>
      </c>
      <c r="J50" s="40">
        <f t="shared" si="31"/>
        <v>171666.66666666657</v>
      </c>
      <c r="K50" s="40">
        <f t="shared" si="31"/>
        <v>171666.66666666657</v>
      </c>
      <c r="L50" s="40">
        <f t="shared" si="31"/>
        <v>171666.66666666657</v>
      </c>
      <c r="M50" s="40">
        <f t="shared" si="31"/>
        <v>171666.66666666657</v>
      </c>
      <c r="N50" s="40">
        <f t="shared" si="31"/>
        <v>171666.66666666657</v>
      </c>
      <c r="O50" s="40">
        <f t="shared" si="31"/>
        <v>171666.66666666657</v>
      </c>
      <c r="P50" s="40">
        <f t="shared" ref="P50:P53" si="32">SUM(D50:O50)</f>
        <v>2059999.9999999984</v>
      </c>
    </row>
    <row r="51" spans="2:16" ht="17.5" x14ac:dyDescent="0.35">
      <c r="B51" s="14" t="str">
        <f>+B24</f>
        <v>Search</v>
      </c>
      <c r="C51" s="2">
        <v>2000000</v>
      </c>
      <c r="D51" s="40">
        <f t="shared" ref="D51:O51" si="33">+$C$51*(1+$C$24)*factor</f>
        <v>171666.66666666657</v>
      </c>
      <c r="E51" s="40">
        <f t="shared" si="33"/>
        <v>171666.66666666657</v>
      </c>
      <c r="F51" s="40">
        <f t="shared" si="33"/>
        <v>171666.66666666657</v>
      </c>
      <c r="G51" s="40">
        <f t="shared" si="33"/>
        <v>171666.66666666657</v>
      </c>
      <c r="H51" s="40">
        <f t="shared" si="33"/>
        <v>171666.66666666657</v>
      </c>
      <c r="I51" s="40">
        <f t="shared" si="33"/>
        <v>171666.66666666657</v>
      </c>
      <c r="J51" s="40">
        <f t="shared" si="33"/>
        <v>171666.66666666657</v>
      </c>
      <c r="K51" s="40">
        <f t="shared" si="33"/>
        <v>171666.66666666657</v>
      </c>
      <c r="L51" s="40">
        <f t="shared" si="33"/>
        <v>171666.66666666657</v>
      </c>
      <c r="M51" s="40">
        <f t="shared" si="33"/>
        <v>171666.66666666657</v>
      </c>
      <c r="N51" s="40">
        <f t="shared" si="33"/>
        <v>171666.66666666657</v>
      </c>
      <c r="O51" s="40">
        <f t="shared" si="33"/>
        <v>171666.66666666657</v>
      </c>
      <c r="P51" s="40">
        <f t="shared" si="32"/>
        <v>2059999.9999999984</v>
      </c>
    </row>
    <row r="52" spans="2:16" ht="17.5" x14ac:dyDescent="0.35">
      <c r="B52" s="14" t="str">
        <f>+B25</f>
        <v>Social Media</v>
      </c>
      <c r="C52" s="2">
        <v>500000</v>
      </c>
      <c r="D52" s="40">
        <f t="shared" ref="D52:O52" si="34">+$C$52*(1+$C$25)*factor</f>
        <v>42083.333333333307</v>
      </c>
      <c r="E52" s="40">
        <f t="shared" si="34"/>
        <v>42083.333333333307</v>
      </c>
      <c r="F52" s="40">
        <f t="shared" si="34"/>
        <v>42083.333333333307</v>
      </c>
      <c r="G52" s="40">
        <f t="shared" si="34"/>
        <v>42083.333333333307</v>
      </c>
      <c r="H52" s="40">
        <f t="shared" si="34"/>
        <v>42083.333333333307</v>
      </c>
      <c r="I52" s="40">
        <f t="shared" si="34"/>
        <v>42083.333333333307</v>
      </c>
      <c r="J52" s="40">
        <f t="shared" si="34"/>
        <v>42083.333333333307</v>
      </c>
      <c r="K52" s="40">
        <f t="shared" si="34"/>
        <v>42083.333333333307</v>
      </c>
      <c r="L52" s="40">
        <f t="shared" si="34"/>
        <v>42083.333333333307</v>
      </c>
      <c r="M52" s="40">
        <f t="shared" si="34"/>
        <v>42083.333333333307</v>
      </c>
      <c r="N52" s="40">
        <f t="shared" si="34"/>
        <v>42083.333333333307</v>
      </c>
      <c r="O52" s="40">
        <f t="shared" si="34"/>
        <v>42083.333333333307</v>
      </c>
      <c r="P52" s="40">
        <f t="shared" si="32"/>
        <v>504999.99999999971</v>
      </c>
    </row>
    <row r="53" spans="2:16" ht="17.5" x14ac:dyDescent="0.35">
      <c r="B53" s="14" t="str">
        <f>+B26</f>
        <v>Sponsorships</v>
      </c>
      <c r="C53" s="2">
        <v>1000000</v>
      </c>
      <c r="D53" s="40">
        <f t="shared" ref="D53:O53" si="35">+$C$53*(1+$C$26)*factor</f>
        <v>84166.666666666613</v>
      </c>
      <c r="E53" s="40">
        <f t="shared" si="35"/>
        <v>84166.666666666613</v>
      </c>
      <c r="F53" s="40">
        <f t="shared" si="35"/>
        <v>84166.666666666613</v>
      </c>
      <c r="G53" s="40">
        <f t="shared" si="35"/>
        <v>84166.666666666613</v>
      </c>
      <c r="H53" s="40">
        <f t="shared" si="35"/>
        <v>84166.666666666613</v>
      </c>
      <c r="I53" s="40">
        <f t="shared" si="35"/>
        <v>84166.666666666613</v>
      </c>
      <c r="J53" s="40">
        <f t="shared" si="35"/>
        <v>84166.666666666613</v>
      </c>
      <c r="K53" s="40">
        <f t="shared" si="35"/>
        <v>84166.666666666613</v>
      </c>
      <c r="L53" s="40">
        <f t="shared" si="35"/>
        <v>84166.666666666613</v>
      </c>
      <c r="M53" s="40">
        <f t="shared" si="35"/>
        <v>84166.666666666613</v>
      </c>
      <c r="N53" s="40">
        <f t="shared" si="35"/>
        <v>84166.666666666613</v>
      </c>
      <c r="O53" s="40">
        <f t="shared" si="35"/>
        <v>84166.666666666613</v>
      </c>
      <c r="P53" s="40">
        <f t="shared" si="32"/>
        <v>1009999.9999999994</v>
      </c>
    </row>
    <row r="54" spans="2:16" ht="17.5" x14ac:dyDescent="0.35">
      <c r="B54" s="15" t="s">
        <v>127</v>
      </c>
      <c r="C54" s="36">
        <v>0</v>
      </c>
      <c r="D54" s="41">
        <f t="shared" ref="D54:O54" si="36">C54*(1+$C$27)*factor</f>
        <v>0</v>
      </c>
      <c r="E54" s="41">
        <f t="shared" si="36"/>
        <v>0</v>
      </c>
      <c r="F54" s="41">
        <f t="shared" si="36"/>
        <v>0</v>
      </c>
      <c r="G54" s="41">
        <f t="shared" si="36"/>
        <v>0</v>
      </c>
      <c r="H54" s="41">
        <f t="shared" si="36"/>
        <v>0</v>
      </c>
      <c r="I54" s="41">
        <f t="shared" si="36"/>
        <v>0</v>
      </c>
      <c r="J54" s="41">
        <f t="shared" si="36"/>
        <v>0</v>
      </c>
      <c r="K54" s="41">
        <f t="shared" si="36"/>
        <v>0</v>
      </c>
      <c r="L54" s="41">
        <f t="shared" si="36"/>
        <v>0</v>
      </c>
      <c r="M54" s="41">
        <f t="shared" si="36"/>
        <v>0</v>
      </c>
      <c r="N54" s="41">
        <f t="shared" si="36"/>
        <v>0</v>
      </c>
      <c r="O54" s="41">
        <f t="shared" si="36"/>
        <v>0</v>
      </c>
      <c r="P54" s="41">
        <f t="shared" ref="P54" si="37">SUM(D54:O54)</f>
        <v>0</v>
      </c>
    </row>
    <row r="55" spans="2:16" ht="18" x14ac:dyDescent="0.4">
      <c r="B55" s="4" t="str">
        <f>+"Total "&amp;B49</f>
        <v>Total Advertising</v>
      </c>
      <c r="C55" s="42">
        <f>SUM(C50:C54)</f>
        <v>5500000</v>
      </c>
      <c r="D55" s="42">
        <f>SUM(D50:D54)</f>
        <v>469583.33333333308</v>
      </c>
      <c r="E55" s="42">
        <f t="shared" ref="E55:P55" si="38">SUM(E50:E54)</f>
        <v>469583.33333333308</v>
      </c>
      <c r="F55" s="42">
        <f t="shared" si="38"/>
        <v>469583.33333333308</v>
      </c>
      <c r="G55" s="42">
        <f t="shared" si="38"/>
        <v>469583.33333333308</v>
      </c>
      <c r="H55" s="42">
        <f t="shared" si="38"/>
        <v>469583.33333333308</v>
      </c>
      <c r="I55" s="42">
        <f t="shared" si="38"/>
        <v>469583.33333333308</v>
      </c>
      <c r="J55" s="42">
        <f t="shared" si="38"/>
        <v>469583.33333333308</v>
      </c>
      <c r="K55" s="42">
        <f t="shared" si="38"/>
        <v>469583.33333333308</v>
      </c>
      <c r="L55" s="42">
        <f t="shared" si="38"/>
        <v>469583.33333333308</v>
      </c>
      <c r="M55" s="42">
        <f t="shared" si="38"/>
        <v>469583.33333333308</v>
      </c>
      <c r="N55" s="42">
        <f t="shared" si="38"/>
        <v>469583.33333333308</v>
      </c>
      <c r="O55" s="42">
        <f t="shared" si="38"/>
        <v>469583.33333333308</v>
      </c>
      <c r="P55" s="42">
        <f t="shared" si="38"/>
        <v>5634999.9999999953</v>
      </c>
    </row>
    <row r="56" spans="2:16" ht="18" x14ac:dyDescent="0.4">
      <c r="B56" s="4"/>
      <c r="C56" s="2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2:16" ht="18" x14ac:dyDescent="0.4">
      <c r="B57" s="4" t="s">
        <v>61</v>
      </c>
      <c r="C57" s="21" t="str">
        <f>+C49</f>
        <v>Prev. Year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7"/>
    </row>
    <row r="58" spans="2:16" ht="17.5" x14ac:dyDescent="0.35">
      <c r="B58" s="14" t="str">
        <f>D23</f>
        <v xml:space="preserve">Free Product </v>
      </c>
      <c r="C58" s="2">
        <v>100000</v>
      </c>
      <c r="D58" s="40">
        <f t="shared" ref="D58:O58" si="39">$C$58*(1+$F$23)*factor</f>
        <v>8333.3333333333285</v>
      </c>
      <c r="E58" s="40">
        <f t="shared" si="39"/>
        <v>8333.3333333333285</v>
      </c>
      <c r="F58" s="40">
        <f t="shared" si="39"/>
        <v>8333.3333333333285</v>
      </c>
      <c r="G58" s="40">
        <f t="shared" si="39"/>
        <v>8333.3333333333285</v>
      </c>
      <c r="H58" s="40">
        <f t="shared" si="39"/>
        <v>8333.3333333333285</v>
      </c>
      <c r="I58" s="40">
        <f t="shared" si="39"/>
        <v>8333.3333333333285</v>
      </c>
      <c r="J58" s="40">
        <f t="shared" si="39"/>
        <v>8333.3333333333285</v>
      </c>
      <c r="K58" s="40">
        <f t="shared" si="39"/>
        <v>8333.3333333333285</v>
      </c>
      <c r="L58" s="40">
        <f t="shared" si="39"/>
        <v>8333.3333333333285</v>
      </c>
      <c r="M58" s="40">
        <f t="shared" si="39"/>
        <v>8333.3333333333285</v>
      </c>
      <c r="N58" s="40">
        <f t="shared" si="39"/>
        <v>8333.3333333333285</v>
      </c>
      <c r="O58" s="40">
        <f t="shared" si="39"/>
        <v>8333.3333333333285</v>
      </c>
      <c r="P58" s="40">
        <f t="shared" ref="P58:P62" si="40">SUM(D58:O58)</f>
        <v>99999.999999999942</v>
      </c>
    </row>
    <row r="59" spans="2:16" ht="17.5" x14ac:dyDescent="0.35">
      <c r="B59" s="14" t="str">
        <f t="shared" ref="B59:B62" si="41">D24</f>
        <v>Brand Awareness</v>
      </c>
      <c r="C59" s="2">
        <v>500000</v>
      </c>
      <c r="D59" s="40">
        <f t="shared" ref="D59:O59" si="42">$C$59*(1+$F$24)*factor</f>
        <v>41666.666666666642</v>
      </c>
      <c r="E59" s="40">
        <f t="shared" si="42"/>
        <v>41666.666666666642</v>
      </c>
      <c r="F59" s="40">
        <f t="shared" si="42"/>
        <v>41666.666666666642</v>
      </c>
      <c r="G59" s="40">
        <f t="shared" si="42"/>
        <v>41666.666666666642</v>
      </c>
      <c r="H59" s="40">
        <f t="shared" si="42"/>
        <v>41666.666666666642</v>
      </c>
      <c r="I59" s="40">
        <f t="shared" si="42"/>
        <v>41666.666666666642</v>
      </c>
      <c r="J59" s="40">
        <f t="shared" si="42"/>
        <v>41666.666666666642</v>
      </c>
      <c r="K59" s="40">
        <f t="shared" si="42"/>
        <v>41666.666666666642</v>
      </c>
      <c r="L59" s="40">
        <f t="shared" si="42"/>
        <v>41666.666666666642</v>
      </c>
      <c r="M59" s="40">
        <f t="shared" si="42"/>
        <v>41666.666666666642</v>
      </c>
      <c r="N59" s="40">
        <f t="shared" si="42"/>
        <v>41666.666666666642</v>
      </c>
      <c r="O59" s="40">
        <f t="shared" si="42"/>
        <v>41666.666666666642</v>
      </c>
      <c r="P59" s="40">
        <f t="shared" si="40"/>
        <v>499999.99999999959</v>
      </c>
    </row>
    <row r="60" spans="2:16" ht="17.5" x14ac:dyDescent="0.35">
      <c r="B60" s="14" t="str">
        <f t="shared" si="41"/>
        <v>Consultants</v>
      </c>
      <c r="C60" s="2">
        <v>250000</v>
      </c>
      <c r="D60" s="40">
        <f t="shared" ref="D60:O60" si="43">$C$60*(1+$F$25)*factor</f>
        <v>21458.333333333321</v>
      </c>
      <c r="E60" s="40">
        <f t="shared" si="43"/>
        <v>21458.333333333321</v>
      </c>
      <c r="F60" s="40">
        <f t="shared" si="43"/>
        <v>21458.333333333321</v>
      </c>
      <c r="G60" s="40">
        <f t="shared" si="43"/>
        <v>21458.333333333321</v>
      </c>
      <c r="H60" s="40">
        <f t="shared" si="43"/>
        <v>21458.333333333321</v>
      </c>
      <c r="I60" s="40">
        <f t="shared" si="43"/>
        <v>21458.333333333321</v>
      </c>
      <c r="J60" s="40">
        <f t="shared" si="43"/>
        <v>21458.333333333321</v>
      </c>
      <c r="K60" s="40">
        <f t="shared" si="43"/>
        <v>21458.333333333321</v>
      </c>
      <c r="L60" s="40">
        <f t="shared" si="43"/>
        <v>21458.333333333321</v>
      </c>
      <c r="M60" s="40">
        <f t="shared" si="43"/>
        <v>21458.333333333321</v>
      </c>
      <c r="N60" s="40">
        <f t="shared" si="43"/>
        <v>21458.333333333321</v>
      </c>
      <c r="O60" s="40">
        <f t="shared" si="43"/>
        <v>21458.333333333321</v>
      </c>
      <c r="P60" s="40">
        <f t="shared" si="40"/>
        <v>257499.9999999998</v>
      </c>
    </row>
    <row r="61" spans="2:16" ht="17.5" x14ac:dyDescent="0.35">
      <c r="B61" s="14" t="str">
        <f t="shared" si="41"/>
        <v>Market Research</v>
      </c>
      <c r="C61" s="2">
        <v>100000</v>
      </c>
      <c r="D61" s="40">
        <f t="shared" ref="D61:O61" si="44">$C$61*(1+$F$26)*factor</f>
        <v>8583.3333333333285</v>
      </c>
      <c r="E61" s="40">
        <f t="shared" si="44"/>
        <v>8583.3333333333285</v>
      </c>
      <c r="F61" s="40">
        <f t="shared" si="44"/>
        <v>8583.3333333333285</v>
      </c>
      <c r="G61" s="40">
        <f t="shared" si="44"/>
        <v>8583.3333333333285</v>
      </c>
      <c r="H61" s="40">
        <f t="shared" si="44"/>
        <v>8583.3333333333285</v>
      </c>
      <c r="I61" s="40">
        <f t="shared" si="44"/>
        <v>8583.3333333333285</v>
      </c>
      <c r="J61" s="40">
        <f t="shared" si="44"/>
        <v>8583.3333333333285</v>
      </c>
      <c r="K61" s="40">
        <f t="shared" si="44"/>
        <v>8583.3333333333285</v>
      </c>
      <c r="L61" s="40">
        <f t="shared" si="44"/>
        <v>8583.3333333333285</v>
      </c>
      <c r="M61" s="40">
        <f t="shared" si="44"/>
        <v>8583.3333333333285</v>
      </c>
      <c r="N61" s="40">
        <f t="shared" si="44"/>
        <v>8583.3333333333285</v>
      </c>
      <c r="O61" s="40">
        <f t="shared" si="44"/>
        <v>8583.3333333333285</v>
      </c>
      <c r="P61" s="40">
        <f t="shared" si="40"/>
        <v>102999.99999999994</v>
      </c>
    </row>
    <row r="62" spans="2:16" ht="17.5" x14ac:dyDescent="0.35">
      <c r="B62" s="14" t="str">
        <f t="shared" si="41"/>
        <v>Projects / Experiments</v>
      </c>
      <c r="C62" s="36">
        <v>200000</v>
      </c>
      <c r="D62" s="41">
        <f t="shared" ref="D62:O62" si="45">$C$62*(1+$F$27)*factor</f>
        <v>17499.999999999989</v>
      </c>
      <c r="E62" s="41">
        <f t="shared" si="45"/>
        <v>17499.999999999989</v>
      </c>
      <c r="F62" s="41">
        <f t="shared" si="45"/>
        <v>17499.999999999989</v>
      </c>
      <c r="G62" s="41">
        <f t="shared" si="45"/>
        <v>17499.999999999989</v>
      </c>
      <c r="H62" s="41">
        <f t="shared" si="45"/>
        <v>17499.999999999989</v>
      </c>
      <c r="I62" s="41">
        <f t="shared" si="45"/>
        <v>17499.999999999989</v>
      </c>
      <c r="J62" s="41">
        <f t="shared" si="45"/>
        <v>17499.999999999989</v>
      </c>
      <c r="K62" s="41">
        <f t="shared" si="45"/>
        <v>17499.999999999989</v>
      </c>
      <c r="L62" s="41">
        <f t="shared" si="45"/>
        <v>17499.999999999989</v>
      </c>
      <c r="M62" s="41">
        <f t="shared" si="45"/>
        <v>17499.999999999989</v>
      </c>
      <c r="N62" s="41">
        <f t="shared" si="45"/>
        <v>17499.999999999989</v>
      </c>
      <c r="O62" s="41">
        <f t="shared" si="45"/>
        <v>17499.999999999989</v>
      </c>
      <c r="P62" s="41">
        <f t="shared" si="40"/>
        <v>209999.99999999991</v>
      </c>
    </row>
    <row r="63" spans="2:16" ht="18" x14ac:dyDescent="0.4">
      <c r="B63" s="4" t="str">
        <f>+"Total "&amp;B57</f>
        <v>Total Other Channel</v>
      </c>
      <c r="C63" s="42">
        <f>SUM(C58:C62)</f>
        <v>1150000</v>
      </c>
      <c r="D63" s="42">
        <f>SUM(D58:D62)</f>
        <v>97541.666666666599</v>
      </c>
      <c r="E63" s="42">
        <f t="shared" ref="E63:P63" si="46">SUM(E58:E62)</f>
        <v>97541.666666666599</v>
      </c>
      <c r="F63" s="42">
        <f t="shared" si="46"/>
        <v>97541.666666666599</v>
      </c>
      <c r="G63" s="42">
        <f t="shared" si="46"/>
        <v>97541.666666666599</v>
      </c>
      <c r="H63" s="42">
        <f t="shared" si="46"/>
        <v>97541.666666666599</v>
      </c>
      <c r="I63" s="42">
        <f t="shared" si="46"/>
        <v>97541.666666666599</v>
      </c>
      <c r="J63" s="42">
        <f t="shared" si="46"/>
        <v>97541.666666666599</v>
      </c>
      <c r="K63" s="42">
        <f t="shared" si="46"/>
        <v>97541.666666666599</v>
      </c>
      <c r="L63" s="42">
        <f t="shared" si="46"/>
        <v>97541.666666666599</v>
      </c>
      <c r="M63" s="42">
        <f t="shared" si="46"/>
        <v>97541.666666666599</v>
      </c>
      <c r="N63" s="42">
        <f t="shared" si="46"/>
        <v>97541.666666666599</v>
      </c>
      <c r="O63" s="42">
        <f t="shared" si="46"/>
        <v>97541.666666666599</v>
      </c>
      <c r="P63" s="42">
        <f t="shared" si="46"/>
        <v>1170499.9999999993</v>
      </c>
    </row>
    <row r="64" spans="2:16" ht="18" x14ac:dyDescent="0.4">
      <c r="B64" s="4"/>
    </row>
    <row r="65" spans="2:16" ht="18" x14ac:dyDescent="0.4">
      <c r="B65" s="4" t="s">
        <v>62</v>
      </c>
      <c r="D65" s="42">
        <f>SUM(D35,D55,D63,D41,D47)</f>
        <v>3219186.8333333326</v>
      </c>
      <c r="E65" s="42">
        <f t="shared" ref="E65:P65" si="47">SUM(E35,E55,E63,E41,E47)</f>
        <v>1049168.3333333328</v>
      </c>
      <c r="F65" s="42">
        <f t="shared" si="47"/>
        <v>1049168.3333333328</v>
      </c>
      <c r="G65" s="42">
        <f t="shared" si="47"/>
        <v>1049168.3333333328</v>
      </c>
      <c r="H65" s="42">
        <f t="shared" si="47"/>
        <v>1049168.3333333328</v>
      </c>
      <c r="I65" s="42">
        <f t="shared" si="47"/>
        <v>1049168.3333333328</v>
      </c>
      <c r="J65" s="42">
        <f t="shared" si="47"/>
        <v>1049168.3333333328</v>
      </c>
      <c r="K65" s="42">
        <f t="shared" si="47"/>
        <v>1049168.3333333328</v>
      </c>
      <c r="L65" s="42">
        <f t="shared" si="47"/>
        <v>1049168.3333333328</v>
      </c>
      <c r="M65" s="42">
        <f t="shared" si="47"/>
        <v>1049168.3333333328</v>
      </c>
      <c r="N65" s="42">
        <f t="shared" si="47"/>
        <v>1049168.3333333328</v>
      </c>
      <c r="O65" s="42">
        <f t="shared" si="47"/>
        <v>1049168.3333333328</v>
      </c>
      <c r="P65" s="42">
        <f t="shared" si="47"/>
        <v>14760038.499999993</v>
      </c>
    </row>
    <row r="66" spans="2:16" ht="18" x14ac:dyDescent="0.4">
      <c r="B66" s="4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</row>
    <row r="67" spans="2:16" ht="18" x14ac:dyDescent="0.4">
      <c r="B67" s="4" t="s">
        <v>6</v>
      </c>
      <c r="C67" s="16"/>
      <c r="D67" s="21">
        <f>+Revenue!D12</f>
        <v>45292</v>
      </c>
      <c r="E67" s="21">
        <f>+Revenue!E12</f>
        <v>45323</v>
      </c>
      <c r="F67" s="21">
        <f>+Revenue!F12</f>
        <v>45354</v>
      </c>
      <c r="G67" s="21">
        <f>+Revenue!G12</f>
        <v>45385</v>
      </c>
      <c r="H67" s="21">
        <f>+Revenue!H12</f>
        <v>45416</v>
      </c>
      <c r="I67" s="21">
        <f>+Revenue!I12</f>
        <v>45447</v>
      </c>
      <c r="J67" s="21">
        <f>+Revenue!J12</f>
        <v>45478</v>
      </c>
      <c r="K67" s="21">
        <f>+Revenue!K12</f>
        <v>45509</v>
      </c>
      <c r="L67" s="21">
        <f>+Revenue!L12</f>
        <v>45540</v>
      </c>
      <c r="M67" s="21">
        <f>+Revenue!M12</f>
        <v>45571</v>
      </c>
      <c r="N67" s="21">
        <f>+Revenue!N12</f>
        <v>45602</v>
      </c>
      <c r="O67" s="21">
        <f>+Revenue!O12</f>
        <v>45633</v>
      </c>
      <c r="P67" s="21" t="s">
        <v>16</v>
      </c>
    </row>
    <row r="68" spans="2:16" ht="17.5" x14ac:dyDescent="0.35">
      <c r="B68" s="65" t="s">
        <v>60</v>
      </c>
      <c r="C68" s="15" t="s">
        <v>26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0">
        <f t="shared" ref="P68:P72" si="48">SUM(D68:O68)</f>
        <v>0</v>
      </c>
    </row>
    <row r="69" spans="2:16" ht="17.5" x14ac:dyDescent="0.35">
      <c r="B69" s="65" t="s">
        <v>7</v>
      </c>
      <c r="C69" s="15" t="s">
        <v>26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40">
        <f t="shared" si="48"/>
        <v>0</v>
      </c>
    </row>
    <row r="70" spans="2:16" ht="17.5" x14ac:dyDescent="0.35">
      <c r="B70" s="65" t="s">
        <v>8</v>
      </c>
      <c r="C70" s="15" t="s">
        <v>26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40">
        <f t="shared" si="48"/>
        <v>0</v>
      </c>
    </row>
    <row r="71" spans="2:16" ht="17.5" x14ac:dyDescent="0.35">
      <c r="B71" s="65" t="s">
        <v>9</v>
      </c>
      <c r="C71" s="15" t="s">
        <v>26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40">
        <f t="shared" si="48"/>
        <v>0</v>
      </c>
    </row>
    <row r="72" spans="2:16" ht="17.5" x14ac:dyDescent="0.35">
      <c r="B72" s="65" t="s">
        <v>10</v>
      </c>
      <c r="C72" s="15" t="s">
        <v>26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41">
        <f t="shared" si="48"/>
        <v>0</v>
      </c>
    </row>
    <row r="73" spans="2:16" ht="18" x14ac:dyDescent="0.4">
      <c r="B73" s="4" t="str">
        <f>+"Total "&amp;B67</f>
        <v>Total Variable Costs</v>
      </c>
      <c r="C73" s="3"/>
      <c r="D73" s="42">
        <f>SUM(D68:D72)</f>
        <v>0</v>
      </c>
      <c r="E73" s="42">
        <f t="shared" ref="E73:P73" si="49">SUM(E68:E72)</f>
        <v>0</v>
      </c>
      <c r="F73" s="42">
        <f t="shared" si="49"/>
        <v>0</v>
      </c>
      <c r="G73" s="42">
        <f t="shared" si="49"/>
        <v>0</v>
      </c>
      <c r="H73" s="42">
        <f t="shared" si="49"/>
        <v>0</v>
      </c>
      <c r="I73" s="42">
        <f t="shared" si="49"/>
        <v>0</v>
      </c>
      <c r="J73" s="42">
        <f t="shared" si="49"/>
        <v>0</v>
      </c>
      <c r="K73" s="42">
        <f t="shared" si="49"/>
        <v>0</v>
      </c>
      <c r="L73" s="42">
        <f t="shared" si="49"/>
        <v>0</v>
      </c>
      <c r="M73" s="42">
        <f t="shared" si="49"/>
        <v>0</v>
      </c>
      <c r="N73" s="42">
        <f t="shared" si="49"/>
        <v>0</v>
      </c>
      <c r="O73" s="42">
        <f t="shared" si="49"/>
        <v>0</v>
      </c>
      <c r="P73" s="42">
        <f t="shared" si="49"/>
        <v>0</v>
      </c>
    </row>
    <row r="74" spans="2:16" ht="18" x14ac:dyDescent="0.4">
      <c r="B74" s="4"/>
    </row>
    <row r="75" spans="2:16" ht="18" x14ac:dyDescent="0.4">
      <c r="B75" s="4" t="s">
        <v>64</v>
      </c>
      <c r="D75" s="42">
        <f t="shared" ref="D75:P75" si="50">+D65+D73</f>
        <v>3219186.8333333326</v>
      </c>
      <c r="E75" s="42">
        <f t="shared" si="50"/>
        <v>1049168.3333333328</v>
      </c>
      <c r="F75" s="42">
        <f t="shared" si="50"/>
        <v>1049168.3333333328</v>
      </c>
      <c r="G75" s="42">
        <f t="shared" si="50"/>
        <v>1049168.3333333328</v>
      </c>
      <c r="H75" s="42">
        <f t="shared" si="50"/>
        <v>1049168.3333333328</v>
      </c>
      <c r="I75" s="42">
        <f t="shared" si="50"/>
        <v>1049168.3333333328</v>
      </c>
      <c r="J75" s="42">
        <f t="shared" si="50"/>
        <v>1049168.3333333328</v>
      </c>
      <c r="K75" s="42">
        <f t="shared" si="50"/>
        <v>1049168.3333333328</v>
      </c>
      <c r="L75" s="42">
        <f t="shared" si="50"/>
        <v>1049168.3333333328</v>
      </c>
      <c r="M75" s="42">
        <f t="shared" si="50"/>
        <v>1049168.3333333328</v>
      </c>
      <c r="N75" s="42">
        <f t="shared" si="50"/>
        <v>1049168.3333333328</v>
      </c>
      <c r="O75" s="42">
        <f t="shared" si="50"/>
        <v>1049168.3333333328</v>
      </c>
      <c r="P75" s="42">
        <f t="shared" si="50"/>
        <v>14760038.499999993</v>
      </c>
    </row>
    <row r="76" spans="2:16" ht="17.5" x14ac:dyDescent="0.35">
      <c r="B76" s="14" t="s">
        <v>65</v>
      </c>
      <c r="D76" s="43">
        <f>D75/Revenue!D27</f>
        <v>0.61282825686909048</v>
      </c>
      <c r="E76" s="43">
        <f>E75/Revenue!E27</f>
        <v>0.19391015274366249</v>
      </c>
      <c r="F76" s="43">
        <f>F75/Revenue!F27</f>
        <v>0.18826228421714808</v>
      </c>
      <c r="G76" s="43">
        <f>G75/Revenue!G27</f>
        <v>0.18277891671567773</v>
      </c>
      <c r="H76" s="43">
        <f>H75/Revenue!H27</f>
        <v>0.17745525894725989</v>
      </c>
      <c r="I76" s="43">
        <f>I75/Revenue!I27</f>
        <v>0.17228665917209696</v>
      </c>
      <c r="J76" s="43">
        <f>J75/Revenue!J27</f>
        <v>0.16726860113795824</v>
      </c>
      <c r="K76" s="43">
        <f>K75/Revenue!K27</f>
        <v>0.16239670013394003</v>
      </c>
      <c r="L76" s="43">
        <f>L75/Revenue!L27</f>
        <v>0.15766669915916509</v>
      </c>
      <c r="M76" s="43">
        <f>M75/Revenue!M27</f>
        <v>0.15307446520307288</v>
      </c>
      <c r="N76" s="43">
        <f>N75/Revenue!N27</f>
        <v>0.14861598563405135</v>
      </c>
      <c r="O76" s="43">
        <f>O75/Revenue!O27</f>
        <v>0.14428736469325373</v>
      </c>
      <c r="P76" s="43">
        <f>P75/Revenue!P27</f>
        <v>0.19798650187915939</v>
      </c>
    </row>
  </sheetData>
  <mergeCells count="3">
    <mergeCell ref="B2:P2"/>
    <mergeCell ref="B3:P3"/>
    <mergeCell ref="B29:P29"/>
  </mergeCells>
  <pageMargins left="0.7" right="0.7" top="0.75" bottom="0.75" header="0.3" footer="0.3"/>
  <pageSetup paperSize="9" orientation="portrait" r:id="rId1"/>
  <ignoredErrors>
    <ignoredError sqref="D11:O11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51C9-03CD-4578-AAF2-FA16DDC27D64}">
  <dimension ref="A1:P70"/>
  <sheetViews>
    <sheetView showGridLines="0" zoomScaleNormal="100" workbookViewId="0">
      <pane ySplit="2" topLeftCell="A3" activePane="bottomLeft" state="frozen"/>
      <selection pane="bottomLeft" activeCell="F130" sqref="F130"/>
    </sheetView>
  </sheetViews>
  <sheetFormatPr defaultColWidth="10.81640625" defaultRowHeight="14.5" x14ac:dyDescent="0.35"/>
  <cols>
    <col min="1" max="1" width="3" customWidth="1"/>
    <col min="2" max="2" width="50.81640625" customWidth="1"/>
    <col min="3" max="16" width="16.6328125" customWidth="1"/>
  </cols>
  <sheetData>
    <row r="1" spans="2:16" ht="5" customHeight="1" x14ac:dyDescent="0.35"/>
    <row r="2" spans="2:16" ht="25" customHeight="1" x14ac:dyDescent="0.35">
      <c r="B2" s="75" t="s">
        <v>74</v>
      </c>
      <c r="C2" s="76"/>
      <c r="D2" s="76"/>
      <c r="E2" s="76"/>
      <c r="F2" s="76"/>
      <c r="G2" s="76"/>
      <c r="H2" s="76"/>
      <c r="I2" s="77"/>
      <c r="J2" s="77"/>
      <c r="K2" s="77"/>
      <c r="L2" s="77"/>
      <c r="M2" s="77"/>
      <c r="N2" s="77"/>
      <c r="O2" s="77"/>
      <c r="P2" s="77"/>
    </row>
    <row r="3" spans="2:16" ht="17.5" customHeight="1" x14ac:dyDescent="0.35">
      <c r="B3" s="78" t="s">
        <v>20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2:16" ht="17.5" customHeight="1" x14ac:dyDescent="0.4">
      <c r="B4" s="48" t="s">
        <v>114</v>
      </c>
      <c r="C4" s="21" t="s">
        <v>70</v>
      </c>
      <c r="D4" s="21">
        <f>Revenue!D12</f>
        <v>45292</v>
      </c>
      <c r="E4" s="21">
        <f>Revenue!E12</f>
        <v>45323</v>
      </c>
      <c r="F4" s="21">
        <f>Revenue!F12</f>
        <v>45354</v>
      </c>
      <c r="G4" s="21">
        <f>Revenue!G12</f>
        <v>45385</v>
      </c>
      <c r="H4" s="21">
        <f>Revenue!H12</f>
        <v>45416</v>
      </c>
      <c r="I4" s="21">
        <f>Revenue!I12</f>
        <v>45447</v>
      </c>
      <c r="J4" s="21">
        <f>Revenue!J12</f>
        <v>45478</v>
      </c>
      <c r="K4" s="21">
        <f>Revenue!K12</f>
        <v>45509</v>
      </c>
      <c r="L4" s="21">
        <f>Revenue!L12</f>
        <v>45540</v>
      </c>
      <c r="M4" s="21">
        <f>Revenue!M12</f>
        <v>45571</v>
      </c>
      <c r="N4" s="21">
        <f>Revenue!N12</f>
        <v>45602</v>
      </c>
      <c r="O4" s="21">
        <f>Revenue!O12</f>
        <v>45633</v>
      </c>
      <c r="P4" s="12"/>
    </row>
    <row r="5" spans="2:16" ht="17.5" customHeight="1" x14ac:dyDescent="0.35">
      <c r="B5" s="3" t="s">
        <v>36</v>
      </c>
      <c r="C5" s="28">
        <v>1</v>
      </c>
      <c r="D5" s="23">
        <f>+C5</f>
        <v>1</v>
      </c>
      <c r="E5" s="23">
        <f t="shared" ref="E5:O5" si="0">+D5</f>
        <v>1</v>
      </c>
      <c r="F5" s="23">
        <f t="shared" si="0"/>
        <v>1</v>
      </c>
      <c r="G5" s="23">
        <f t="shared" si="0"/>
        <v>1</v>
      </c>
      <c r="H5" s="23">
        <f t="shared" si="0"/>
        <v>1</v>
      </c>
      <c r="I5" s="23">
        <f t="shared" si="0"/>
        <v>1</v>
      </c>
      <c r="J5" s="23">
        <f t="shared" si="0"/>
        <v>1</v>
      </c>
      <c r="K5" s="23">
        <f t="shared" si="0"/>
        <v>1</v>
      </c>
      <c r="L5" s="23">
        <f t="shared" si="0"/>
        <v>1</v>
      </c>
      <c r="M5" s="23">
        <f t="shared" si="0"/>
        <v>1</v>
      </c>
      <c r="N5" s="23">
        <f t="shared" si="0"/>
        <v>1</v>
      </c>
      <c r="O5" s="23">
        <f t="shared" si="0"/>
        <v>1</v>
      </c>
      <c r="P5" s="5"/>
    </row>
    <row r="6" spans="2:16" ht="17.5" customHeight="1" x14ac:dyDescent="0.35">
      <c r="B6" s="3" t="s">
        <v>37</v>
      </c>
      <c r="C6" s="28">
        <v>5</v>
      </c>
      <c r="D6" s="23">
        <f t="shared" ref="D6:O9" si="1">+C6</f>
        <v>5</v>
      </c>
      <c r="E6" s="23">
        <f t="shared" si="1"/>
        <v>5</v>
      </c>
      <c r="F6" s="23">
        <f t="shared" si="1"/>
        <v>5</v>
      </c>
      <c r="G6" s="23">
        <f t="shared" si="1"/>
        <v>5</v>
      </c>
      <c r="H6" s="23">
        <f t="shared" si="1"/>
        <v>5</v>
      </c>
      <c r="I6" s="23">
        <f t="shared" si="1"/>
        <v>5</v>
      </c>
      <c r="J6" s="23">
        <f t="shared" si="1"/>
        <v>5</v>
      </c>
      <c r="K6" s="23">
        <f t="shared" si="1"/>
        <v>5</v>
      </c>
      <c r="L6" s="23">
        <f t="shared" si="1"/>
        <v>5</v>
      </c>
      <c r="M6" s="23">
        <f t="shared" si="1"/>
        <v>5</v>
      </c>
      <c r="N6" s="28">
        <f>+M6+1</f>
        <v>6</v>
      </c>
      <c r="O6" s="23">
        <f t="shared" si="1"/>
        <v>6</v>
      </c>
      <c r="P6" s="5"/>
    </row>
    <row r="7" spans="2:16" ht="17.5" customHeight="1" x14ac:dyDescent="0.35">
      <c r="B7" s="3" t="s">
        <v>44</v>
      </c>
      <c r="C7" s="28">
        <v>4</v>
      </c>
      <c r="D7" s="23">
        <f t="shared" si="1"/>
        <v>4</v>
      </c>
      <c r="E7" s="23">
        <f t="shared" si="1"/>
        <v>4</v>
      </c>
      <c r="F7" s="23">
        <f t="shared" si="1"/>
        <v>4</v>
      </c>
      <c r="G7" s="23">
        <f t="shared" si="1"/>
        <v>4</v>
      </c>
      <c r="H7" s="28">
        <f>+G7+1</f>
        <v>5</v>
      </c>
      <c r="I7" s="23">
        <f t="shared" si="1"/>
        <v>5</v>
      </c>
      <c r="J7" s="23">
        <f t="shared" si="1"/>
        <v>5</v>
      </c>
      <c r="K7" s="23">
        <f t="shared" si="1"/>
        <v>5</v>
      </c>
      <c r="L7" s="23">
        <f t="shared" si="1"/>
        <v>5</v>
      </c>
      <c r="M7" s="28">
        <f>+L7+1</f>
        <v>6</v>
      </c>
      <c r="N7" s="23">
        <f t="shared" si="1"/>
        <v>6</v>
      </c>
      <c r="O7" s="23">
        <f t="shared" si="1"/>
        <v>6</v>
      </c>
      <c r="P7" s="5"/>
    </row>
    <row r="8" spans="2:16" ht="17.5" customHeight="1" x14ac:dyDescent="0.35">
      <c r="B8" s="3" t="s">
        <v>38</v>
      </c>
      <c r="C8" s="28">
        <v>7</v>
      </c>
      <c r="D8" s="23">
        <f t="shared" si="1"/>
        <v>7</v>
      </c>
      <c r="E8" s="23">
        <f t="shared" si="1"/>
        <v>7</v>
      </c>
      <c r="F8" s="23">
        <f t="shared" si="1"/>
        <v>7</v>
      </c>
      <c r="G8" s="23">
        <f t="shared" si="1"/>
        <v>7</v>
      </c>
      <c r="H8" s="23">
        <f t="shared" si="1"/>
        <v>7</v>
      </c>
      <c r="I8" s="23">
        <f t="shared" si="1"/>
        <v>7</v>
      </c>
      <c r="J8" s="28">
        <f>+I8+1</f>
        <v>8</v>
      </c>
      <c r="K8" s="23">
        <f t="shared" si="1"/>
        <v>8</v>
      </c>
      <c r="L8" s="23">
        <f t="shared" si="1"/>
        <v>8</v>
      </c>
      <c r="M8" s="23">
        <f t="shared" si="1"/>
        <v>8</v>
      </c>
      <c r="N8" s="23">
        <f t="shared" si="1"/>
        <v>8</v>
      </c>
      <c r="O8" s="23">
        <f t="shared" si="1"/>
        <v>8</v>
      </c>
      <c r="P8" s="5"/>
    </row>
    <row r="9" spans="2:16" ht="17.5" customHeight="1" x14ac:dyDescent="0.35">
      <c r="B9" s="3" t="s">
        <v>39</v>
      </c>
      <c r="C9" s="28">
        <v>2</v>
      </c>
      <c r="D9" s="23">
        <f t="shared" si="1"/>
        <v>2</v>
      </c>
      <c r="E9" s="23">
        <f t="shared" si="1"/>
        <v>2</v>
      </c>
      <c r="F9" s="23">
        <f t="shared" si="1"/>
        <v>2</v>
      </c>
      <c r="G9" s="23">
        <f t="shared" si="1"/>
        <v>2</v>
      </c>
      <c r="H9" s="23">
        <f t="shared" si="1"/>
        <v>2</v>
      </c>
      <c r="I9" s="23">
        <f t="shared" si="1"/>
        <v>2</v>
      </c>
      <c r="J9" s="23">
        <f t="shared" si="1"/>
        <v>2</v>
      </c>
      <c r="K9" s="23">
        <f t="shared" si="1"/>
        <v>2</v>
      </c>
      <c r="L9" s="23">
        <f t="shared" si="1"/>
        <v>2</v>
      </c>
      <c r="M9" s="23">
        <f t="shared" si="1"/>
        <v>2</v>
      </c>
      <c r="N9" s="23">
        <f t="shared" si="1"/>
        <v>2</v>
      </c>
      <c r="O9" s="23">
        <f t="shared" si="1"/>
        <v>2</v>
      </c>
      <c r="P9" s="5"/>
    </row>
    <row r="10" spans="2:16" ht="17.5" customHeight="1" x14ac:dyDescent="0.35">
      <c r="B10" s="3" t="s">
        <v>43</v>
      </c>
      <c r="C10" s="29">
        <v>2</v>
      </c>
      <c r="D10" s="24">
        <f t="shared" ref="D10" si="2">+C10</f>
        <v>2</v>
      </c>
      <c r="E10" s="24">
        <f t="shared" ref="E10" si="3">+D10</f>
        <v>2</v>
      </c>
      <c r="F10" s="24">
        <f t="shared" ref="F10" si="4">+E10</f>
        <v>2</v>
      </c>
      <c r="G10" s="24">
        <f t="shared" ref="G10" si="5">+F10</f>
        <v>2</v>
      </c>
      <c r="H10" s="24">
        <f t="shared" ref="H10" si="6">+G10</f>
        <v>2</v>
      </c>
      <c r="I10" s="24">
        <f t="shared" ref="I10" si="7">+H10</f>
        <v>2</v>
      </c>
      <c r="J10" s="24">
        <f t="shared" ref="J10" si="8">+I10</f>
        <v>2</v>
      </c>
      <c r="K10" s="24">
        <f t="shared" ref="K10" si="9">+J10</f>
        <v>2</v>
      </c>
      <c r="L10" s="24">
        <f t="shared" ref="L10" si="10">+K10</f>
        <v>2</v>
      </c>
      <c r="M10" s="24">
        <f t="shared" ref="M10" si="11">+L10</f>
        <v>2</v>
      </c>
      <c r="N10" s="24">
        <f t="shared" ref="N10" si="12">+M10</f>
        <v>2</v>
      </c>
      <c r="O10" s="24">
        <f t="shared" ref="O10" si="13">+N10</f>
        <v>2</v>
      </c>
      <c r="P10" s="5"/>
    </row>
    <row r="11" spans="2:16" ht="17.5" customHeight="1" x14ac:dyDescent="0.4">
      <c r="B11" s="4" t="s">
        <v>16</v>
      </c>
      <c r="C11" s="25">
        <f>SUM(C5:C10)</f>
        <v>21</v>
      </c>
      <c r="D11" s="25">
        <f t="shared" ref="D11:O11" si="14">SUM(D5:D10)</f>
        <v>21</v>
      </c>
      <c r="E11" s="25">
        <f t="shared" si="14"/>
        <v>21</v>
      </c>
      <c r="F11" s="25">
        <f t="shared" si="14"/>
        <v>21</v>
      </c>
      <c r="G11" s="25">
        <f t="shared" si="14"/>
        <v>21</v>
      </c>
      <c r="H11" s="25">
        <f t="shared" si="14"/>
        <v>22</v>
      </c>
      <c r="I11" s="25">
        <f t="shared" si="14"/>
        <v>22</v>
      </c>
      <c r="J11" s="25">
        <f t="shared" si="14"/>
        <v>23</v>
      </c>
      <c r="K11" s="25">
        <f t="shared" si="14"/>
        <v>23</v>
      </c>
      <c r="L11" s="25">
        <f t="shared" si="14"/>
        <v>23</v>
      </c>
      <c r="M11" s="25">
        <f t="shared" si="14"/>
        <v>24</v>
      </c>
      <c r="N11" s="25">
        <f t="shared" si="14"/>
        <v>25</v>
      </c>
      <c r="O11" s="25">
        <f t="shared" si="14"/>
        <v>25</v>
      </c>
      <c r="P11" s="10"/>
    </row>
    <row r="12" spans="2:16" ht="17.5" customHeight="1" x14ac:dyDescent="0.4">
      <c r="B12" s="4" t="s">
        <v>137</v>
      </c>
      <c r="C12" s="25">
        <f>+C11-C10</f>
        <v>19</v>
      </c>
      <c r="D12" s="25">
        <f t="shared" ref="D12:O12" si="15">+D11-D10</f>
        <v>19</v>
      </c>
      <c r="E12" s="25">
        <f t="shared" si="15"/>
        <v>19</v>
      </c>
      <c r="F12" s="25">
        <f t="shared" si="15"/>
        <v>19</v>
      </c>
      <c r="G12" s="25">
        <f t="shared" si="15"/>
        <v>19</v>
      </c>
      <c r="H12" s="25">
        <f t="shared" si="15"/>
        <v>20</v>
      </c>
      <c r="I12" s="25">
        <f t="shared" si="15"/>
        <v>20</v>
      </c>
      <c r="J12" s="25">
        <f t="shared" si="15"/>
        <v>21</v>
      </c>
      <c r="K12" s="25">
        <f t="shared" si="15"/>
        <v>21</v>
      </c>
      <c r="L12" s="25">
        <f t="shared" si="15"/>
        <v>21</v>
      </c>
      <c r="M12" s="25">
        <f t="shared" si="15"/>
        <v>22</v>
      </c>
      <c r="N12" s="25">
        <f t="shared" si="15"/>
        <v>23</v>
      </c>
      <c r="O12" s="25">
        <f t="shared" si="15"/>
        <v>23</v>
      </c>
      <c r="P12" s="10"/>
    </row>
    <row r="13" spans="2:16" ht="17.5" customHeight="1" x14ac:dyDescent="0.4">
      <c r="B13" s="3" t="s">
        <v>136</v>
      </c>
      <c r="C13" s="30"/>
      <c r="D13" s="23">
        <f>D12-C12</f>
        <v>0</v>
      </c>
      <c r="E13" s="23">
        <f t="shared" ref="E13:O13" si="16">E12-D12</f>
        <v>0</v>
      </c>
      <c r="F13" s="23">
        <f t="shared" si="16"/>
        <v>0</v>
      </c>
      <c r="G13" s="23">
        <f t="shared" si="16"/>
        <v>0</v>
      </c>
      <c r="H13" s="23">
        <f t="shared" si="16"/>
        <v>1</v>
      </c>
      <c r="I13" s="23">
        <f t="shared" si="16"/>
        <v>0</v>
      </c>
      <c r="J13" s="23">
        <f t="shared" si="16"/>
        <v>1</v>
      </c>
      <c r="K13" s="23">
        <f t="shared" si="16"/>
        <v>0</v>
      </c>
      <c r="L13" s="23">
        <f t="shared" si="16"/>
        <v>0</v>
      </c>
      <c r="M13" s="23">
        <f t="shared" si="16"/>
        <v>1</v>
      </c>
      <c r="N13" s="23">
        <f t="shared" si="16"/>
        <v>1</v>
      </c>
      <c r="O13" s="23">
        <f t="shared" si="16"/>
        <v>0</v>
      </c>
      <c r="P13" s="10"/>
    </row>
    <row r="14" spans="2:16" ht="17.5" customHeight="1" x14ac:dyDescent="0.35">
      <c r="B14" s="3"/>
      <c r="C14" s="30" t="s">
        <v>13</v>
      </c>
      <c r="D14" s="30" t="s">
        <v>13</v>
      </c>
      <c r="E14" s="8"/>
      <c r="F14" s="3"/>
      <c r="G14" s="3"/>
      <c r="I14" s="17"/>
      <c r="J14" s="8"/>
      <c r="K14" s="8"/>
      <c r="L14" s="8"/>
      <c r="M14" s="8"/>
      <c r="N14" s="8"/>
      <c r="O14" s="8"/>
    </row>
    <row r="15" spans="2:16" ht="17.5" customHeight="1" x14ac:dyDescent="0.4">
      <c r="B15" s="4" t="s">
        <v>40</v>
      </c>
      <c r="C15" s="34" t="s">
        <v>41</v>
      </c>
      <c r="D15" s="35" t="s">
        <v>42</v>
      </c>
      <c r="E15" s="18"/>
      <c r="F15" s="4"/>
      <c r="G15" s="18"/>
      <c r="H15" s="18"/>
      <c r="I15" s="4"/>
      <c r="J15" s="18"/>
      <c r="K15" s="18"/>
      <c r="L15" s="4"/>
      <c r="M15" s="3"/>
      <c r="O15" s="30"/>
      <c r="P15" s="19"/>
    </row>
    <row r="16" spans="2:16" ht="17.5" customHeight="1" x14ac:dyDescent="0.35">
      <c r="B16" s="3" t="str">
        <f>B5</f>
        <v>Vice-President</v>
      </c>
      <c r="C16" s="2">
        <v>100000</v>
      </c>
      <c r="D16" s="31">
        <v>0.25</v>
      </c>
      <c r="E16" s="5"/>
      <c r="F16" s="3"/>
      <c r="G16" s="31"/>
      <c r="H16" s="5"/>
      <c r="I16" s="3"/>
      <c r="K16" s="31"/>
      <c r="L16" s="17"/>
      <c r="M16" s="3"/>
      <c r="O16" s="31"/>
      <c r="P16" s="5"/>
    </row>
    <row r="17" spans="2:16" ht="17.5" customHeight="1" x14ac:dyDescent="0.35">
      <c r="B17" s="3" t="str">
        <f>B6</f>
        <v>Manager</v>
      </c>
      <c r="C17" s="2">
        <v>60000</v>
      </c>
      <c r="D17" s="31">
        <v>0.2</v>
      </c>
      <c r="E17" s="5"/>
      <c r="F17" s="3"/>
      <c r="G17" s="31"/>
      <c r="H17" s="5"/>
      <c r="I17" s="3"/>
      <c r="K17" s="31"/>
      <c r="L17" s="17"/>
      <c r="M17" s="3"/>
      <c r="O17" s="31"/>
      <c r="P17" s="5"/>
    </row>
    <row r="18" spans="2:16" ht="17.5" customHeight="1" x14ac:dyDescent="0.35">
      <c r="B18" s="3" t="str">
        <f>B7</f>
        <v>Supervisor</v>
      </c>
      <c r="C18" s="2">
        <v>40000</v>
      </c>
      <c r="D18" s="31">
        <v>0.2</v>
      </c>
      <c r="E18" s="5"/>
      <c r="F18" s="3"/>
      <c r="G18" s="31"/>
      <c r="H18" s="5"/>
      <c r="I18" s="3"/>
      <c r="K18" s="31"/>
      <c r="L18" s="17"/>
      <c r="M18" s="3"/>
      <c r="O18" s="31"/>
      <c r="P18" s="5"/>
    </row>
    <row r="19" spans="2:16" ht="17.5" customHeight="1" x14ac:dyDescent="0.35">
      <c r="B19" s="3" t="str">
        <f>B8</f>
        <v>Analyst</v>
      </c>
      <c r="C19" s="2">
        <v>30000</v>
      </c>
      <c r="D19" s="31">
        <v>0.1</v>
      </c>
      <c r="E19" s="5"/>
      <c r="F19" s="3"/>
      <c r="G19" s="31"/>
      <c r="H19" s="5"/>
      <c r="I19" s="3"/>
      <c r="K19" s="31"/>
      <c r="L19" s="17"/>
      <c r="M19" s="3"/>
      <c r="O19" s="31"/>
      <c r="P19" s="5"/>
    </row>
    <row r="20" spans="2:16" ht="17.5" customHeight="1" x14ac:dyDescent="0.35">
      <c r="B20" s="3" t="str">
        <f>B9</f>
        <v>Admin. / Support</v>
      </c>
      <c r="C20" s="2">
        <v>20000</v>
      </c>
      <c r="D20" s="31">
        <v>0.05</v>
      </c>
      <c r="E20" s="5"/>
      <c r="H20" s="5"/>
      <c r="I20" s="3"/>
      <c r="K20" s="31"/>
      <c r="L20" s="3"/>
      <c r="M20" s="3"/>
      <c r="O20" s="32"/>
      <c r="P20" s="5"/>
    </row>
    <row r="21" spans="2:16" ht="17.5" customHeight="1" x14ac:dyDescent="0.35">
      <c r="B21" s="3" t="s">
        <v>43</v>
      </c>
      <c r="C21" s="2">
        <v>35000</v>
      </c>
      <c r="D21" s="31">
        <v>0</v>
      </c>
      <c r="E21" s="11"/>
      <c r="H21" s="5"/>
      <c r="I21" s="3"/>
      <c r="K21" s="31"/>
      <c r="L21" s="3"/>
      <c r="M21" s="3"/>
      <c r="O21" s="32"/>
      <c r="P21" s="5"/>
    </row>
    <row r="22" spans="2:16" ht="18" x14ac:dyDescent="0.4">
      <c r="B22" s="4"/>
      <c r="C22" s="3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2:16" ht="17.5" customHeight="1" x14ac:dyDescent="0.35">
      <c r="B23" s="78" t="s">
        <v>5</v>
      </c>
      <c r="C23" s="76"/>
      <c r="D23" s="76"/>
      <c r="E23" s="76"/>
      <c r="F23" s="76"/>
      <c r="G23" s="76"/>
      <c r="H23" s="76"/>
      <c r="I23" s="77"/>
      <c r="J23" s="77"/>
      <c r="K23" s="77"/>
      <c r="L23" s="77"/>
      <c r="M23" s="77"/>
      <c r="N23" s="77"/>
      <c r="O23" s="77"/>
      <c r="P23" s="77"/>
    </row>
    <row r="24" spans="2:16" ht="18" x14ac:dyDescent="0.4">
      <c r="B24" s="4" t="s">
        <v>97</v>
      </c>
      <c r="C24" s="21" t="s">
        <v>134</v>
      </c>
      <c r="D24" s="21">
        <f t="shared" ref="D24:O24" si="17">+D4</f>
        <v>45292</v>
      </c>
      <c r="E24" s="21">
        <f t="shared" si="17"/>
        <v>45323</v>
      </c>
      <c r="F24" s="21">
        <f t="shared" si="17"/>
        <v>45354</v>
      </c>
      <c r="G24" s="21">
        <f t="shared" si="17"/>
        <v>45385</v>
      </c>
      <c r="H24" s="21">
        <f t="shared" si="17"/>
        <v>45416</v>
      </c>
      <c r="I24" s="21">
        <f t="shared" si="17"/>
        <v>45447</v>
      </c>
      <c r="J24" s="21">
        <f t="shared" si="17"/>
        <v>45478</v>
      </c>
      <c r="K24" s="21">
        <f t="shared" si="17"/>
        <v>45509</v>
      </c>
      <c r="L24" s="21">
        <f t="shared" si="17"/>
        <v>45540</v>
      </c>
      <c r="M24" s="21">
        <f t="shared" si="17"/>
        <v>45571</v>
      </c>
      <c r="N24" s="21">
        <f t="shared" si="17"/>
        <v>45602</v>
      </c>
      <c r="O24" s="21">
        <f t="shared" si="17"/>
        <v>45633</v>
      </c>
      <c r="P24" s="21" t="s">
        <v>17</v>
      </c>
    </row>
    <row r="25" spans="2:16" ht="17.5" x14ac:dyDescent="0.35">
      <c r="B25" s="14" t="s">
        <v>99</v>
      </c>
      <c r="C25" s="26" t="s">
        <v>94</v>
      </c>
      <c r="D25" s="40">
        <f t="shared" ref="D25:O25" si="18">SUMPRODUCT(D5:D10,$C$16:$C$21)*factor</f>
        <v>73333.333333333299</v>
      </c>
      <c r="E25" s="40">
        <f t="shared" si="18"/>
        <v>73333.333333333299</v>
      </c>
      <c r="F25" s="40">
        <f t="shared" si="18"/>
        <v>73333.333333333299</v>
      </c>
      <c r="G25" s="40">
        <f t="shared" si="18"/>
        <v>73333.333333333299</v>
      </c>
      <c r="H25" s="40">
        <f t="shared" si="18"/>
        <v>76666.666666666628</v>
      </c>
      <c r="I25" s="40">
        <f t="shared" si="18"/>
        <v>76666.666666666628</v>
      </c>
      <c r="J25" s="40">
        <f t="shared" si="18"/>
        <v>79166.666666666628</v>
      </c>
      <c r="K25" s="40">
        <f t="shared" si="18"/>
        <v>79166.666666666628</v>
      </c>
      <c r="L25" s="40">
        <f t="shared" si="18"/>
        <v>79166.666666666628</v>
      </c>
      <c r="M25" s="40">
        <f t="shared" si="18"/>
        <v>82499.999999999956</v>
      </c>
      <c r="N25" s="40">
        <f t="shared" si="18"/>
        <v>87499.999999999956</v>
      </c>
      <c r="O25" s="40">
        <f t="shared" si="18"/>
        <v>87499.999999999956</v>
      </c>
      <c r="P25" s="40">
        <f t="shared" ref="P25:P28" si="19">SUM(D25:O25)</f>
        <v>941666.66666666628</v>
      </c>
    </row>
    <row r="26" spans="2:16" ht="17.5" x14ac:dyDescent="0.35">
      <c r="B26" s="14" t="s">
        <v>56</v>
      </c>
      <c r="C26" s="69" t="s">
        <v>68</v>
      </c>
      <c r="D26" s="40">
        <f>SUMPRODUCT(D5:D10,C16:C21,D16:D21)</f>
        <v>140000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 t="shared" si="19"/>
        <v>140000</v>
      </c>
    </row>
    <row r="27" spans="2:16" ht="17.5" x14ac:dyDescent="0.35">
      <c r="B27" s="14" t="s">
        <v>129</v>
      </c>
      <c r="C27" s="15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>
        <f t="shared" si="19"/>
        <v>0</v>
      </c>
    </row>
    <row r="28" spans="2:16" ht="17.5" x14ac:dyDescent="0.35">
      <c r="B28" s="14" t="s">
        <v>138</v>
      </c>
      <c r="C28" s="31">
        <v>0.12</v>
      </c>
      <c r="D28" s="41">
        <f>SUM(D25:D27)*$C$28</f>
        <v>25599.999999999996</v>
      </c>
      <c r="E28" s="41">
        <f t="shared" ref="E28:O28" si="20">SUM(E25:E27)*$C$28</f>
        <v>8799.9999999999964</v>
      </c>
      <c r="F28" s="41">
        <f t="shared" si="20"/>
        <v>8799.9999999999964</v>
      </c>
      <c r="G28" s="41">
        <f t="shared" si="20"/>
        <v>8799.9999999999964</v>
      </c>
      <c r="H28" s="41">
        <f t="shared" si="20"/>
        <v>9199.9999999999945</v>
      </c>
      <c r="I28" s="41">
        <f t="shared" si="20"/>
        <v>9199.9999999999945</v>
      </c>
      <c r="J28" s="41">
        <f t="shared" si="20"/>
        <v>9499.9999999999945</v>
      </c>
      <c r="K28" s="41">
        <f t="shared" si="20"/>
        <v>9499.9999999999945</v>
      </c>
      <c r="L28" s="41">
        <f t="shared" si="20"/>
        <v>9499.9999999999945</v>
      </c>
      <c r="M28" s="41">
        <f t="shared" si="20"/>
        <v>9899.9999999999945</v>
      </c>
      <c r="N28" s="41">
        <f t="shared" si="20"/>
        <v>10499.999999999995</v>
      </c>
      <c r="O28" s="41">
        <f t="shared" si="20"/>
        <v>10499.999999999995</v>
      </c>
      <c r="P28" s="41">
        <f t="shared" si="19"/>
        <v>129799.99999999997</v>
      </c>
    </row>
    <row r="29" spans="2:16" ht="18" x14ac:dyDescent="0.4">
      <c r="B29" s="4" t="str">
        <f>+"Total "&amp;B24</f>
        <v xml:space="preserve">Total Payroll </v>
      </c>
      <c r="D29" s="42">
        <f>SUM(D25:D28)</f>
        <v>238933.33333333331</v>
      </c>
      <c r="E29" s="42">
        <f t="shared" ref="E29:P29" si="21">SUM(E25:E28)</f>
        <v>82133.333333333299</v>
      </c>
      <c r="F29" s="42">
        <f t="shared" si="21"/>
        <v>82133.333333333299</v>
      </c>
      <c r="G29" s="42">
        <f t="shared" si="21"/>
        <v>82133.333333333299</v>
      </c>
      <c r="H29" s="42">
        <f t="shared" si="21"/>
        <v>85866.666666666628</v>
      </c>
      <c r="I29" s="42">
        <f t="shared" si="21"/>
        <v>85866.666666666628</v>
      </c>
      <c r="J29" s="42">
        <f t="shared" si="21"/>
        <v>88666.666666666628</v>
      </c>
      <c r="K29" s="42">
        <f t="shared" si="21"/>
        <v>88666.666666666628</v>
      </c>
      <c r="L29" s="42">
        <f t="shared" si="21"/>
        <v>88666.666666666628</v>
      </c>
      <c r="M29" s="42">
        <f t="shared" si="21"/>
        <v>92399.999999999956</v>
      </c>
      <c r="N29" s="42">
        <f t="shared" si="21"/>
        <v>97999.999999999956</v>
      </c>
      <c r="O29" s="42">
        <f t="shared" si="21"/>
        <v>97999.999999999956</v>
      </c>
      <c r="P29" s="42">
        <f t="shared" si="21"/>
        <v>1211466.6666666663</v>
      </c>
    </row>
    <row r="30" spans="2:16" ht="18" customHeight="1" x14ac:dyDescent="0.4">
      <c r="B30" s="4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2:16" ht="18" customHeight="1" x14ac:dyDescent="0.4">
      <c r="B31" s="4" t="s">
        <v>28</v>
      </c>
      <c r="C31" s="22" t="s">
        <v>13</v>
      </c>
    </row>
    <row r="32" spans="2:16" ht="18" customHeight="1" x14ac:dyDescent="0.35">
      <c r="B32" s="14" t="s">
        <v>33</v>
      </c>
      <c r="C32" s="2">
        <v>15000</v>
      </c>
      <c r="D32" s="40">
        <f>D12*C32</f>
        <v>285000</v>
      </c>
      <c r="E32" s="40">
        <f t="shared" ref="E32:O32" si="22">E13*$C$32</f>
        <v>0</v>
      </c>
      <c r="F32" s="40">
        <f t="shared" si="22"/>
        <v>0</v>
      </c>
      <c r="G32" s="40">
        <f t="shared" si="22"/>
        <v>0</v>
      </c>
      <c r="H32" s="40">
        <f t="shared" si="22"/>
        <v>15000</v>
      </c>
      <c r="I32" s="40">
        <f t="shared" si="22"/>
        <v>0</v>
      </c>
      <c r="J32" s="40">
        <f t="shared" si="22"/>
        <v>15000</v>
      </c>
      <c r="K32" s="40">
        <f t="shared" si="22"/>
        <v>0</v>
      </c>
      <c r="L32" s="40">
        <f t="shared" si="22"/>
        <v>0</v>
      </c>
      <c r="M32" s="40">
        <f t="shared" si="22"/>
        <v>15000</v>
      </c>
      <c r="N32" s="40">
        <f t="shared" si="22"/>
        <v>15000</v>
      </c>
      <c r="O32" s="40">
        <f t="shared" si="22"/>
        <v>0</v>
      </c>
      <c r="P32" s="40">
        <f t="shared" ref="P32:P34" si="23">SUM(D32:O32)</f>
        <v>345000</v>
      </c>
    </row>
    <row r="33" spans="1:16" ht="18" customHeight="1" x14ac:dyDescent="0.35">
      <c r="B33" s="14" t="s">
        <v>34</v>
      </c>
      <c r="C33" s="26">
        <v>4.7E-2</v>
      </c>
      <c r="D33" s="40">
        <f>+SUM(D25:D27)*$C$33</f>
        <v>10026.666666666666</v>
      </c>
      <c r="E33" s="40">
        <f t="shared" ref="E33:O33" si="24">+SUM(E25:E27)*$C$33</f>
        <v>3446.6666666666652</v>
      </c>
      <c r="F33" s="40">
        <f t="shared" si="24"/>
        <v>3446.6666666666652</v>
      </c>
      <c r="G33" s="40">
        <f t="shared" si="24"/>
        <v>3446.6666666666652</v>
      </c>
      <c r="H33" s="40">
        <f t="shared" si="24"/>
        <v>3603.3333333333317</v>
      </c>
      <c r="I33" s="40">
        <f t="shared" si="24"/>
        <v>3603.3333333333317</v>
      </c>
      <c r="J33" s="40">
        <f t="shared" si="24"/>
        <v>3720.8333333333317</v>
      </c>
      <c r="K33" s="40">
        <f t="shared" si="24"/>
        <v>3720.8333333333317</v>
      </c>
      <c r="L33" s="40">
        <f t="shared" si="24"/>
        <v>3720.8333333333317</v>
      </c>
      <c r="M33" s="40">
        <f t="shared" si="24"/>
        <v>3877.4999999999982</v>
      </c>
      <c r="N33" s="40">
        <f t="shared" si="24"/>
        <v>4112.4999999999982</v>
      </c>
      <c r="O33" s="40">
        <f t="shared" si="24"/>
        <v>4112.4999999999982</v>
      </c>
      <c r="P33" s="40">
        <f t="shared" si="23"/>
        <v>50838.333333333314</v>
      </c>
    </row>
    <row r="34" spans="1:16" ht="18" customHeight="1" x14ac:dyDescent="0.35">
      <c r="B34" s="14" t="s">
        <v>59</v>
      </c>
      <c r="C34" s="36">
        <v>1000</v>
      </c>
      <c r="D34" s="41">
        <f t="shared" ref="D34:O34" si="25">D12*$C$34*factor</f>
        <v>1583.3333333333323</v>
      </c>
      <c r="E34" s="41">
        <f t="shared" si="25"/>
        <v>1583.3333333333323</v>
      </c>
      <c r="F34" s="41">
        <f t="shared" si="25"/>
        <v>1583.3333333333323</v>
      </c>
      <c r="G34" s="41">
        <f t="shared" si="25"/>
        <v>1583.3333333333323</v>
      </c>
      <c r="H34" s="41">
        <f t="shared" si="25"/>
        <v>1666.6666666666658</v>
      </c>
      <c r="I34" s="41">
        <f t="shared" si="25"/>
        <v>1666.6666666666658</v>
      </c>
      <c r="J34" s="41">
        <f t="shared" si="25"/>
        <v>1749.9999999999991</v>
      </c>
      <c r="K34" s="41">
        <f t="shared" si="25"/>
        <v>1749.9999999999991</v>
      </c>
      <c r="L34" s="41">
        <f t="shared" si="25"/>
        <v>1749.9999999999991</v>
      </c>
      <c r="M34" s="41">
        <f t="shared" si="25"/>
        <v>1833.3333333333323</v>
      </c>
      <c r="N34" s="41">
        <f t="shared" si="25"/>
        <v>1916.6666666666656</v>
      </c>
      <c r="O34" s="41">
        <f t="shared" si="25"/>
        <v>1916.6666666666656</v>
      </c>
      <c r="P34" s="41">
        <f t="shared" si="23"/>
        <v>20583.333333333321</v>
      </c>
    </row>
    <row r="35" spans="1:16" ht="18" customHeight="1" x14ac:dyDescent="0.4">
      <c r="B35" s="4" t="str">
        <f>+"Total "&amp;B31</f>
        <v>Total Benefits &amp; Perks</v>
      </c>
      <c r="C35" s="42"/>
      <c r="D35" s="42">
        <f t="shared" ref="D35:P35" si="26">SUM(D32:D34)</f>
        <v>296610</v>
      </c>
      <c r="E35" s="42">
        <f t="shared" si="26"/>
        <v>5029.9999999999973</v>
      </c>
      <c r="F35" s="42">
        <f t="shared" si="26"/>
        <v>5029.9999999999973</v>
      </c>
      <c r="G35" s="42">
        <f t="shared" si="26"/>
        <v>5029.9999999999973</v>
      </c>
      <c r="H35" s="42">
        <f t="shared" si="26"/>
        <v>20269.999999999996</v>
      </c>
      <c r="I35" s="42">
        <f t="shared" si="26"/>
        <v>5269.9999999999973</v>
      </c>
      <c r="J35" s="42">
        <f t="shared" si="26"/>
        <v>20470.833333333332</v>
      </c>
      <c r="K35" s="42">
        <f t="shared" si="26"/>
        <v>5470.8333333333303</v>
      </c>
      <c r="L35" s="42">
        <f t="shared" si="26"/>
        <v>5470.8333333333303</v>
      </c>
      <c r="M35" s="42">
        <f t="shared" si="26"/>
        <v>20710.833333333332</v>
      </c>
      <c r="N35" s="42">
        <f t="shared" si="26"/>
        <v>21029.166666666664</v>
      </c>
      <c r="O35" s="42">
        <f t="shared" si="26"/>
        <v>6029.1666666666642</v>
      </c>
      <c r="P35" s="42">
        <f t="shared" si="26"/>
        <v>416421.66666666663</v>
      </c>
    </row>
    <row r="36" spans="1:16" ht="18" customHeight="1" x14ac:dyDescent="0.4">
      <c r="B36" s="4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ht="18" customHeight="1" x14ac:dyDescent="0.4">
      <c r="B37" s="4" t="s">
        <v>29</v>
      </c>
      <c r="C37" s="22" t="s">
        <v>13</v>
      </c>
    </row>
    <row r="38" spans="1:16" ht="18" customHeight="1" x14ac:dyDescent="0.35">
      <c r="B38" s="14" t="s">
        <v>30</v>
      </c>
      <c r="C38" s="2">
        <v>500</v>
      </c>
      <c r="D38" s="40">
        <f t="shared" ref="D38:O38" si="27">+D12*$C$38*factor</f>
        <v>791.66666666666617</v>
      </c>
      <c r="E38" s="40">
        <f t="shared" si="27"/>
        <v>791.66666666666617</v>
      </c>
      <c r="F38" s="40">
        <f t="shared" si="27"/>
        <v>791.66666666666617</v>
      </c>
      <c r="G38" s="40">
        <f t="shared" si="27"/>
        <v>791.66666666666617</v>
      </c>
      <c r="H38" s="40">
        <f t="shared" si="27"/>
        <v>833.33333333333292</v>
      </c>
      <c r="I38" s="40">
        <f t="shared" si="27"/>
        <v>833.33333333333292</v>
      </c>
      <c r="J38" s="40">
        <f t="shared" si="27"/>
        <v>874.99999999999955</v>
      </c>
      <c r="K38" s="40">
        <f t="shared" si="27"/>
        <v>874.99999999999955</v>
      </c>
      <c r="L38" s="40">
        <f t="shared" si="27"/>
        <v>874.99999999999955</v>
      </c>
      <c r="M38" s="40">
        <f t="shared" si="27"/>
        <v>916.66666666666617</v>
      </c>
      <c r="N38" s="40">
        <f t="shared" si="27"/>
        <v>958.3333333333328</v>
      </c>
      <c r="O38" s="40">
        <f t="shared" si="27"/>
        <v>958.3333333333328</v>
      </c>
      <c r="P38" s="40">
        <f t="shared" ref="P38:P40" si="28">SUM(D38:O38)</f>
        <v>10291.666666666661</v>
      </c>
    </row>
    <row r="39" spans="1:16" s="1" customFormat="1" ht="18" customHeight="1" x14ac:dyDescent="0.35">
      <c r="A39"/>
      <c r="B39" s="20" t="s">
        <v>31</v>
      </c>
      <c r="C39" s="2">
        <v>500</v>
      </c>
      <c r="D39" s="40">
        <f t="shared" ref="D39:O39" si="29">+D12*$C$39*factor</f>
        <v>791.66666666666617</v>
      </c>
      <c r="E39" s="40">
        <f t="shared" si="29"/>
        <v>791.66666666666617</v>
      </c>
      <c r="F39" s="40">
        <f t="shared" si="29"/>
        <v>791.66666666666617</v>
      </c>
      <c r="G39" s="40">
        <f t="shared" si="29"/>
        <v>791.66666666666617</v>
      </c>
      <c r="H39" s="40">
        <f t="shared" si="29"/>
        <v>833.33333333333292</v>
      </c>
      <c r="I39" s="40">
        <f t="shared" si="29"/>
        <v>833.33333333333292</v>
      </c>
      <c r="J39" s="40">
        <f t="shared" si="29"/>
        <v>874.99999999999955</v>
      </c>
      <c r="K39" s="40">
        <f t="shared" si="29"/>
        <v>874.99999999999955</v>
      </c>
      <c r="L39" s="40">
        <f t="shared" si="29"/>
        <v>874.99999999999955</v>
      </c>
      <c r="M39" s="40">
        <f t="shared" si="29"/>
        <v>916.66666666666617</v>
      </c>
      <c r="N39" s="40">
        <f t="shared" si="29"/>
        <v>958.3333333333328</v>
      </c>
      <c r="O39" s="40">
        <f t="shared" si="29"/>
        <v>958.3333333333328</v>
      </c>
      <c r="P39" s="40">
        <f t="shared" si="28"/>
        <v>10291.666666666661</v>
      </c>
    </row>
    <row r="40" spans="1:16" ht="18" customHeight="1" x14ac:dyDescent="0.35">
      <c r="B40" s="14" t="s">
        <v>32</v>
      </c>
      <c r="C40" s="36">
        <v>300</v>
      </c>
      <c r="D40" s="41">
        <f t="shared" ref="D40:O40" si="30">+D12*$C$40*factor</f>
        <v>474.99999999999972</v>
      </c>
      <c r="E40" s="41">
        <f t="shared" si="30"/>
        <v>474.99999999999972</v>
      </c>
      <c r="F40" s="41">
        <f t="shared" si="30"/>
        <v>474.99999999999972</v>
      </c>
      <c r="G40" s="41">
        <f t="shared" si="30"/>
        <v>474.99999999999972</v>
      </c>
      <c r="H40" s="41">
        <f t="shared" si="30"/>
        <v>499.99999999999972</v>
      </c>
      <c r="I40" s="41">
        <f t="shared" si="30"/>
        <v>499.99999999999972</v>
      </c>
      <c r="J40" s="41">
        <f t="shared" si="30"/>
        <v>524.99999999999966</v>
      </c>
      <c r="K40" s="41">
        <f t="shared" si="30"/>
        <v>524.99999999999966</v>
      </c>
      <c r="L40" s="41">
        <f t="shared" si="30"/>
        <v>524.99999999999966</v>
      </c>
      <c r="M40" s="41">
        <f t="shared" si="30"/>
        <v>549.99999999999966</v>
      </c>
      <c r="N40" s="41">
        <f t="shared" si="30"/>
        <v>574.99999999999966</v>
      </c>
      <c r="O40" s="41">
        <f t="shared" si="30"/>
        <v>574.99999999999966</v>
      </c>
      <c r="P40" s="41">
        <f t="shared" si="28"/>
        <v>6174.9999999999973</v>
      </c>
    </row>
    <row r="41" spans="1:16" ht="18" x14ac:dyDescent="0.4">
      <c r="B41" s="4" t="str">
        <f>+"Total "&amp;B37</f>
        <v>Total Travel &amp; Lodging</v>
      </c>
      <c r="C41" s="42">
        <f t="shared" ref="C41:D41" si="31">SUM(C38:C40)</f>
        <v>1300</v>
      </c>
      <c r="D41" s="42">
        <f t="shared" si="31"/>
        <v>2058.3333333333321</v>
      </c>
      <c r="E41" s="42">
        <f t="shared" ref="E41:P41" si="32">SUM(E38:E40)</f>
        <v>2058.3333333333321</v>
      </c>
      <c r="F41" s="42">
        <f t="shared" si="32"/>
        <v>2058.3333333333321</v>
      </c>
      <c r="G41" s="42">
        <f t="shared" si="32"/>
        <v>2058.3333333333321</v>
      </c>
      <c r="H41" s="42">
        <f t="shared" si="32"/>
        <v>2166.6666666666656</v>
      </c>
      <c r="I41" s="42">
        <f t="shared" si="32"/>
        <v>2166.6666666666656</v>
      </c>
      <c r="J41" s="42">
        <f t="shared" si="32"/>
        <v>2274.9999999999986</v>
      </c>
      <c r="K41" s="42">
        <f t="shared" si="32"/>
        <v>2274.9999999999986</v>
      </c>
      <c r="L41" s="42">
        <f t="shared" si="32"/>
        <v>2274.9999999999986</v>
      </c>
      <c r="M41" s="42">
        <f t="shared" si="32"/>
        <v>2383.3333333333321</v>
      </c>
      <c r="N41" s="42">
        <f t="shared" si="32"/>
        <v>2491.6666666666652</v>
      </c>
      <c r="O41" s="42">
        <f t="shared" si="32"/>
        <v>2491.6666666666652</v>
      </c>
      <c r="P41" s="42">
        <f t="shared" si="32"/>
        <v>26758.333333333318</v>
      </c>
    </row>
    <row r="42" spans="1:16" ht="18" x14ac:dyDescent="0.4">
      <c r="B42" s="4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1:16" ht="18" x14ac:dyDescent="0.4">
      <c r="B43" s="4" t="s">
        <v>135</v>
      </c>
      <c r="C43" s="22" t="s">
        <v>13</v>
      </c>
    </row>
    <row r="44" spans="1:16" ht="17.5" x14ac:dyDescent="0.35">
      <c r="B44" s="14" t="s">
        <v>75</v>
      </c>
      <c r="C44" s="2">
        <v>500000</v>
      </c>
      <c r="D44" s="40">
        <f t="shared" ref="D44:O44" si="33">$C$44*factor</f>
        <v>41666.666666666642</v>
      </c>
      <c r="E44" s="40">
        <f t="shared" si="33"/>
        <v>41666.666666666642</v>
      </c>
      <c r="F44" s="40">
        <f t="shared" si="33"/>
        <v>41666.666666666642</v>
      </c>
      <c r="G44" s="40">
        <f t="shared" si="33"/>
        <v>41666.666666666642</v>
      </c>
      <c r="H44" s="40">
        <f t="shared" si="33"/>
        <v>41666.666666666642</v>
      </c>
      <c r="I44" s="40">
        <f t="shared" si="33"/>
        <v>41666.666666666642</v>
      </c>
      <c r="J44" s="40">
        <f t="shared" si="33"/>
        <v>41666.666666666642</v>
      </c>
      <c r="K44" s="40">
        <f t="shared" si="33"/>
        <v>41666.666666666642</v>
      </c>
      <c r="L44" s="40">
        <f t="shared" si="33"/>
        <v>41666.666666666642</v>
      </c>
      <c r="M44" s="40">
        <f t="shared" si="33"/>
        <v>41666.666666666642</v>
      </c>
      <c r="N44" s="40">
        <f t="shared" si="33"/>
        <v>41666.666666666642</v>
      </c>
      <c r="O44" s="40">
        <f t="shared" si="33"/>
        <v>41666.666666666642</v>
      </c>
      <c r="P44" s="40">
        <f t="shared" ref="P44:P48" si="34">SUM(D44:O44)</f>
        <v>499999.99999999959</v>
      </c>
    </row>
    <row r="45" spans="1:16" ht="17.5" x14ac:dyDescent="0.35">
      <c r="B45" s="20" t="s">
        <v>115</v>
      </c>
      <c r="C45" s="2">
        <v>250000</v>
      </c>
      <c r="D45" s="40">
        <f t="shared" ref="D45:O45" si="35">$C$45*factor</f>
        <v>20833.333333333321</v>
      </c>
      <c r="E45" s="40">
        <f t="shared" si="35"/>
        <v>20833.333333333321</v>
      </c>
      <c r="F45" s="40">
        <f t="shared" si="35"/>
        <v>20833.333333333321</v>
      </c>
      <c r="G45" s="40">
        <f t="shared" si="35"/>
        <v>20833.333333333321</v>
      </c>
      <c r="H45" s="40">
        <f t="shared" si="35"/>
        <v>20833.333333333321</v>
      </c>
      <c r="I45" s="40">
        <f t="shared" si="35"/>
        <v>20833.333333333321</v>
      </c>
      <c r="J45" s="40">
        <f t="shared" si="35"/>
        <v>20833.333333333321</v>
      </c>
      <c r="K45" s="40">
        <f t="shared" si="35"/>
        <v>20833.333333333321</v>
      </c>
      <c r="L45" s="40">
        <f t="shared" si="35"/>
        <v>20833.333333333321</v>
      </c>
      <c r="M45" s="40">
        <f t="shared" si="35"/>
        <v>20833.333333333321</v>
      </c>
      <c r="N45" s="40">
        <f t="shared" si="35"/>
        <v>20833.333333333321</v>
      </c>
      <c r="O45" s="40">
        <f t="shared" si="35"/>
        <v>20833.333333333321</v>
      </c>
      <c r="P45" s="40">
        <f>SUM(D45:O45)</f>
        <v>249999.9999999998</v>
      </c>
    </row>
    <row r="46" spans="1:16" ht="17.5" x14ac:dyDescent="0.35">
      <c r="B46" s="14" t="s">
        <v>76</v>
      </c>
      <c r="C46" s="2">
        <v>2000</v>
      </c>
      <c r="D46" s="40">
        <f>$C$46*factor*Headcount!D9</f>
        <v>28666.66666666665</v>
      </c>
      <c r="E46" s="40">
        <f>$C$46*factor*Headcount!E9</f>
        <v>28999.999999999982</v>
      </c>
      <c r="F46" s="40">
        <f>$C$46*factor*Headcount!F9</f>
        <v>28999.999999999982</v>
      </c>
      <c r="G46" s="40">
        <f>$C$46*factor*Headcount!G9</f>
        <v>29333.333333333318</v>
      </c>
      <c r="H46" s="40">
        <f>$C$46*factor*Headcount!H9</f>
        <v>29499.999999999982</v>
      </c>
      <c r="I46" s="40">
        <f>$C$46*factor*Headcount!I9</f>
        <v>29833.333333333318</v>
      </c>
      <c r="J46" s="40">
        <f>$C$46*factor*Headcount!J9</f>
        <v>29999.999999999982</v>
      </c>
      <c r="K46" s="40">
        <f>$C$46*factor*Headcount!K9</f>
        <v>30333.333333333318</v>
      </c>
      <c r="L46" s="40">
        <f>$C$46*factor*Headcount!L9</f>
        <v>30333.333333333318</v>
      </c>
      <c r="M46" s="40">
        <f>$C$46*factor*Headcount!M9</f>
        <v>30833.333333333318</v>
      </c>
      <c r="N46" s="40">
        <f>$C$46*factor*Headcount!N9</f>
        <v>30999.999999999982</v>
      </c>
      <c r="O46" s="40">
        <f>$C$46*factor*Headcount!O9</f>
        <v>31333.333333333314</v>
      </c>
      <c r="P46" s="40">
        <f t="shared" si="34"/>
        <v>359166.66666666645</v>
      </c>
    </row>
    <row r="47" spans="1:16" ht="17.5" x14ac:dyDescent="0.35">
      <c r="B47" s="14" t="s">
        <v>80</v>
      </c>
      <c r="C47" s="2">
        <f>100*12</f>
        <v>1200</v>
      </c>
      <c r="D47" s="40">
        <f>$C$47*factor*Headcount!D9</f>
        <v>17199.999999999989</v>
      </c>
      <c r="E47" s="40">
        <f>$C$47*factor*Headcount!E9</f>
        <v>17399.999999999989</v>
      </c>
      <c r="F47" s="40">
        <f>$C$47*factor*Headcount!F9</f>
        <v>17399.999999999989</v>
      </c>
      <c r="G47" s="40">
        <f>$C$47*factor*Headcount!G9</f>
        <v>17599.999999999989</v>
      </c>
      <c r="H47" s="40">
        <f>$C$47*factor*Headcount!H9</f>
        <v>17699.999999999989</v>
      </c>
      <c r="I47" s="40">
        <f>$C$47*factor*Headcount!I9</f>
        <v>17899.999999999989</v>
      </c>
      <c r="J47" s="40">
        <f>$C$47*factor*Headcount!J9</f>
        <v>17999.999999999989</v>
      </c>
      <c r="K47" s="40">
        <f>$C$47*factor*Headcount!K9</f>
        <v>18199.999999999989</v>
      </c>
      <c r="L47" s="40">
        <f>$C$47*factor*Headcount!L9</f>
        <v>18199.999999999989</v>
      </c>
      <c r="M47" s="40">
        <f>$C$47*factor*Headcount!M9</f>
        <v>18499.999999999989</v>
      </c>
      <c r="N47" s="40">
        <f>$C$47*factor*Headcount!N9</f>
        <v>18599.999999999989</v>
      </c>
      <c r="O47" s="40">
        <f>$C$47*factor*Headcount!O9</f>
        <v>18799.999999999989</v>
      </c>
      <c r="P47" s="40">
        <f t="shared" si="34"/>
        <v>215499.99999999991</v>
      </c>
    </row>
    <row r="48" spans="1:16" ht="17.5" x14ac:dyDescent="0.35">
      <c r="B48" s="14" t="s">
        <v>82</v>
      </c>
      <c r="C48" s="2">
        <v>200</v>
      </c>
      <c r="D48" s="41">
        <f>$C$48*factor*Headcount!D9</f>
        <v>2866.6666666666652</v>
      </c>
      <c r="E48" s="41">
        <f>$C$48*factor*Headcount!E9</f>
        <v>2899.9999999999982</v>
      </c>
      <c r="F48" s="41">
        <f>$C$48*factor*Headcount!F9</f>
        <v>2899.9999999999982</v>
      </c>
      <c r="G48" s="41">
        <f>$C$48*factor*Headcount!G9</f>
        <v>2933.3333333333317</v>
      </c>
      <c r="H48" s="41">
        <f>$C$48*factor*Headcount!H9</f>
        <v>2949.9999999999982</v>
      </c>
      <c r="I48" s="41">
        <f>$C$48*factor*Headcount!I9</f>
        <v>2983.3333333333317</v>
      </c>
      <c r="J48" s="41">
        <f>$C$48*factor*Headcount!J9</f>
        <v>2999.9999999999982</v>
      </c>
      <c r="K48" s="41">
        <f>$C$48*factor*Headcount!K9</f>
        <v>3033.3333333333317</v>
      </c>
      <c r="L48" s="41">
        <f>$C$48*factor*Headcount!L9</f>
        <v>3033.3333333333317</v>
      </c>
      <c r="M48" s="41">
        <f>$C$48*factor*Headcount!M9</f>
        <v>3083.3333333333317</v>
      </c>
      <c r="N48" s="41">
        <f>$C$48*factor*Headcount!N9</f>
        <v>3099.9999999999982</v>
      </c>
      <c r="O48" s="41">
        <f>$C$48*factor*Headcount!O9</f>
        <v>3133.3333333333317</v>
      </c>
      <c r="P48" s="41">
        <f t="shared" si="34"/>
        <v>35916.666666666642</v>
      </c>
    </row>
    <row r="49" spans="2:16" ht="18" x14ac:dyDescent="0.4">
      <c r="B49" s="4" t="str">
        <f>+"Total "&amp;B43</f>
        <v xml:space="preserve">Total Hardware </v>
      </c>
      <c r="C49" s="42"/>
      <c r="D49" s="42">
        <f t="shared" ref="D49:P49" si="36">SUM(D44:D48)</f>
        <v>111233.33333333327</v>
      </c>
      <c r="E49" s="42">
        <f t="shared" si="36"/>
        <v>111799.99999999993</v>
      </c>
      <c r="F49" s="42">
        <f t="shared" si="36"/>
        <v>111799.99999999993</v>
      </c>
      <c r="G49" s="42">
        <f t="shared" si="36"/>
        <v>112366.6666666666</v>
      </c>
      <c r="H49" s="42">
        <f t="shared" si="36"/>
        <v>112649.99999999993</v>
      </c>
      <c r="I49" s="42">
        <f t="shared" si="36"/>
        <v>113216.6666666666</v>
      </c>
      <c r="J49" s="42">
        <f t="shared" si="36"/>
        <v>113499.99999999993</v>
      </c>
      <c r="K49" s="42">
        <f t="shared" si="36"/>
        <v>114066.6666666666</v>
      </c>
      <c r="L49" s="42">
        <f t="shared" si="36"/>
        <v>114066.6666666666</v>
      </c>
      <c r="M49" s="42">
        <f t="shared" si="36"/>
        <v>114916.6666666666</v>
      </c>
      <c r="N49" s="42">
        <f t="shared" si="36"/>
        <v>115199.99999999993</v>
      </c>
      <c r="O49" s="42">
        <f t="shared" si="36"/>
        <v>115766.6666666666</v>
      </c>
      <c r="P49" s="42">
        <f t="shared" si="36"/>
        <v>1360583.3333333326</v>
      </c>
    </row>
    <row r="50" spans="2:16" ht="18" x14ac:dyDescent="0.4">
      <c r="B50" s="4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</row>
    <row r="51" spans="2:16" ht="18" x14ac:dyDescent="0.4">
      <c r="B51" s="4" t="s">
        <v>35</v>
      </c>
      <c r="C51" s="22" t="s">
        <v>13</v>
      </c>
    </row>
    <row r="52" spans="2:16" ht="17.5" x14ac:dyDescent="0.35">
      <c r="B52" s="14" t="s">
        <v>77</v>
      </c>
      <c r="C52" s="2">
        <v>300</v>
      </c>
      <c r="D52" s="40">
        <f>$C$52*factor*Headcount!D9</f>
        <v>4299.9999999999973</v>
      </c>
      <c r="E52" s="40">
        <f>$C$52*factor*Headcount!E9</f>
        <v>4349.9999999999973</v>
      </c>
      <c r="F52" s="40">
        <f>$C$52*factor*Headcount!F9</f>
        <v>4349.9999999999973</v>
      </c>
      <c r="G52" s="40">
        <f>$C$52*factor*Headcount!G9</f>
        <v>4399.9999999999973</v>
      </c>
      <c r="H52" s="40">
        <f>$C$52*factor*Headcount!H9</f>
        <v>4424.9999999999973</v>
      </c>
      <c r="I52" s="40">
        <f>$C$52*factor*Headcount!I9</f>
        <v>4474.9999999999973</v>
      </c>
      <c r="J52" s="40">
        <f>$C$52*factor*Headcount!J9</f>
        <v>4499.9999999999973</v>
      </c>
      <c r="K52" s="40">
        <f>$C$52*factor*Headcount!K9</f>
        <v>4549.9999999999973</v>
      </c>
      <c r="L52" s="40">
        <f>$C$52*factor*Headcount!L9</f>
        <v>4549.9999999999973</v>
      </c>
      <c r="M52" s="40">
        <f>$C$52*factor*Headcount!M9</f>
        <v>4624.9999999999973</v>
      </c>
      <c r="N52" s="40">
        <f>$C$52*factor*Headcount!N9</f>
        <v>4649.9999999999973</v>
      </c>
      <c r="O52" s="40">
        <f>$C$52*factor*Headcount!O9</f>
        <v>4699.9999999999973</v>
      </c>
      <c r="P52" s="40">
        <f t="shared" ref="P52:P56" si="37">SUM(D52:O52)</f>
        <v>53874.999999999978</v>
      </c>
    </row>
    <row r="53" spans="2:16" ht="17.5" x14ac:dyDescent="0.35">
      <c r="B53" s="14" t="s">
        <v>78</v>
      </c>
      <c r="C53" s="2">
        <v>200</v>
      </c>
      <c r="D53" s="40">
        <f>$C$53*factor*Headcount!D9</f>
        <v>2866.6666666666652</v>
      </c>
      <c r="E53" s="40">
        <f>$C$53*factor*Headcount!E9</f>
        <v>2899.9999999999982</v>
      </c>
      <c r="F53" s="40">
        <f>$C$53*factor*Headcount!F9</f>
        <v>2899.9999999999982</v>
      </c>
      <c r="G53" s="40">
        <f>$C$53*factor*Headcount!G9</f>
        <v>2933.3333333333317</v>
      </c>
      <c r="H53" s="40">
        <f>$C$53*factor*Headcount!H9</f>
        <v>2949.9999999999982</v>
      </c>
      <c r="I53" s="40">
        <f>$C$53*factor*Headcount!I9</f>
        <v>2983.3333333333317</v>
      </c>
      <c r="J53" s="40">
        <f>$C$53*factor*Headcount!J9</f>
        <v>2999.9999999999982</v>
      </c>
      <c r="K53" s="40">
        <f>$C$53*factor*Headcount!K9</f>
        <v>3033.3333333333317</v>
      </c>
      <c r="L53" s="40">
        <f>$C$53*factor*Headcount!L9</f>
        <v>3033.3333333333317</v>
      </c>
      <c r="M53" s="40">
        <f>$C$53*factor*Headcount!M9</f>
        <v>3083.3333333333317</v>
      </c>
      <c r="N53" s="40">
        <f>$C$53*factor*Headcount!N9</f>
        <v>3099.9999999999982</v>
      </c>
      <c r="O53" s="40">
        <f>$C$53*factor*Headcount!O9</f>
        <v>3133.3333333333317</v>
      </c>
      <c r="P53" s="40">
        <f t="shared" si="37"/>
        <v>35916.666666666642</v>
      </c>
    </row>
    <row r="54" spans="2:16" ht="17.5" x14ac:dyDescent="0.35">
      <c r="B54" s="14" t="s">
        <v>81</v>
      </c>
      <c r="C54" s="2">
        <v>200</v>
      </c>
      <c r="D54" s="40">
        <f>$C$54*factor*Headcount!D9</f>
        <v>2866.6666666666652</v>
      </c>
      <c r="E54" s="40">
        <f>$C$54*factor*Headcount!E9</f>
        <v>2899.9999999999982</v>
      </c>
      <c r="F54" s="40">
        <f>$C$54*factor*Headcount!F9</f>
        <v>2899.9999999999982</v>
      </c>
      <c r="G54" s="40">
        <f>$C$54*factor*Headcount!G9</f>
        <v>2933.3333333333317</v>
      </c>
      <c r="H54" s="40">
        <f>$C$54*factor*Headcount!H9</f>
        <v>2949.9999999999982</v>
      </c>
      <c r="I54" s="40">
        <f>$C$54*factor*Headcount!I9</f>
        <v>2983.3333333333317</v>
      </c>
      <c r="J54" s="40">
        <f>$C$54*factor*Headcount!J9</f>
        <v>2999.9999999999982</v>
      </c>
      <c r="K54" s="40">
        <f>$C$54*factor*Headcount!K9</f>
        <v>3033.3333333333317</v>
      </c>
      <c r="L54" s="40">
        <f>$C$54*factor*Headcount!L9</f>
        <v>3033.3333333333317</v>
      </c>
      <c r="M54" s="40">
        <f>$C$54*factor*Headcount!M9</f>
        <v>3083.3333333333317</v>
      </c>
      <c r="N54" s="40">
        <f>$C$54*factor*Headcount!N9</f>
        <v>3099.9999999999982</v>
      </c>
      <c r="O54" s="40">
        <f>$C$54*factor*Headcount!O9</f>
        <v>3133.3333333333317</v>
      </c>
      <c r="P54" s="40">
        <f t="shared" si="37"/>
        <v>35916.666666666642</v>
      </c>
    </row>
    <row r="55" spans="2:16" ht="17.5" x14ac:dyDescent="0.35">
      <c r="B55" s="14" t="s">
        <v>79</v>
      </c>
      <c r="C55" s="2">
        <v>500</v>
      </c>
      <c r="D55" s="40">
        <f>$C$55*factor*Headcount!D9</f>
        <v>7166.6666666666624</v>
      </c>
      <c r="E55" s="40">
        <f>$C$55*factor*Headcount!E9</f>
        <v>7249.9999999999955</v>
      </c>
      <c r="F55" s="40">
        <f>$C$55*factor*Headcount!F9</f>
        <v>7249.9999999999955</v>
      </c>
      <c r="G55" s="40">
        <f>$C$55*factor*Headcount!G9</f>
        <v>7333.3333333333294</v>
      </c>
      <c r="H55" s="40">
        <f>$C$55*factor*Headcount!H9</f>
        <v>7374.9999999999955</v>
      </c>
      <c r="I55" s="40">
        <f>$C$55*factor*Headcount!I9</f>
        <v>7458.3333333333294</v>
      </c>
      <c r="J55" s="40">
        <f>$C$55*factor*Headcount!J9</f>
        <v>7499.9999999999955</v>
      </c>
      <c r="K55" s="40">
        <f>$C$55*factor*Headcount!K9</f>
        <v>7583.3333333333294</v>
      </c>
      <c r="L55" s="40">
        <f>$C$55*factor*Headcount!L9</f>
        <v>7583.3333333333294</v>
      </c>
      <c r="M55" s="40">
        <f>$C$55*factor*Headcount!M9</f>
        <v>7708.3333333333294</v>
      </c>
      <c r="N55" s="40">
        <f>$C$55*factor*Headcount!N9</f>
        <v>7749.9999999999955</v>
      </c>
      <c r="O55" s="40">
        <f>$C$55*factor*Headcount!O9</f>
        <v>7833.3333333333285</v>
      </c>
      <c r="P55" s="40">
        <f t="shared" si="37"/>
        <v>89791.666666666613</v>
      </c>
    </row>
    <row r="56" spans="2:16" ht="17.5" x14ac:dyDescent="0.35">
      <c r="B56" s="15" t="s">
        <v>127</v>
      </c>
      <c r="C56" s="36">
        <v>0</v>
      </c>
      <c r="D56" s="41">
        <f>$C$56*factor*Headcount!D9</f>
        <v>0</v>
      </c>
      <c r="E56" s="41">
        <f>$C$56*factor*Headcount!E9</f>
        <v>0</v>
      </c>
      <c r="F56" s="41">
        <f>$C$56*factor*Headcount!F9</f>
        <v>0</v>
      </c>
      <c r="G56" s="41">
        <f>$C$56*factor*Headcount!G9</f>
        <v>0</v>
      </c>
      <c r="H56" s="41">
        <f>$C$56*factor*Headcount!H9</f>
        <v>0</v>
      </c>
      <c r="I56" s="41">
        <f>$C$56*factor*Headcount!I9</f>
        <v>0</v>
      </c>
      <c r="J56" s="41">
        <f>$C$56*factor*Headcount!J9</f>
        <v>0</v>
      </c>
      <c r="K56" s="41">
        <f>$C$56*factor*Headcount!K9</f>
        <v>0</v>
      </c>
      <c r="L56" s="41">
        <f>$C$56*factor*Headcount!L9</f>
        <v>0</v>
      </c>
      <c r="M56" s="41">
        <f>$C$56*factor*Headcount!M9</f>
        <v>0</v>
      </c>
      <c r="N56" s="41">
        <f>$C$56*factor*Headcount!N9</f>
        <v>0</v>
      </c>
      <c r="O56" s="41">
        <f>$C$56*factor*Headcount!O9</f>
        <v>0</v>
      </c>
      <c r="P56" s="41">
        <f t="shared" si="37"/>
        <v>0</v>
      </c>
    </row>
    <row r="57" spans="2:16" ht="18" x14ac:dyDescent="0.4">
      <c r="B57" s="4" t="str">
        <f>+"Total "&amp;B51</f>
        <v>Total Software</v>
      </c>
      <c r="C57" s="42">
        <f>SUM(C52:C56)</f>
        <v>1200</v>
      </c>
      <c r="D57" s="42">
        <f t="shared" ref="D57:P57" si="38">SUM(D52:D56)</f>
        <v>17199.999999999993</v>
      </c>
      <c r="E57" s="42">
        <f t="shared" si="38"/>
        <v>17399.999999999989</v>
      </c>
      <c r="F57" s="42">
        <f t="shared" si="38"/>
        <v>17399.999999999989</v>
      </c>
      <c r="G57" s="42">
        <f t="shared" si="38"/>
        <v>17599.999999999989</v>
      </c>
      <c r="H57" s="42">
        <f t="shared" si="38"/>
        <v>17699.999999999989</v>
      </c>
      <c r="I57" s="42">
        <f t="shared" si="38"/>
        <v>17899.999999999989</v>
      </c>
      <c r="J57" s="42">
        <f t="shared" si="38"/>
        <v>17999.999999999989</v>
      </c>
      <c r="K57" s="42">
        <f t="shared" si="38"/>
        <v>18199.999999999989</v>
      </c>
      <c r="L57" s="42">
        <f t="shared" si="38"/>
        <v>18199.999999999989</v>
      </c>
      <c r="M57" s="42">
        <f t="shared" si="38"/>
        <v>18499.999999999989</v>
      </c>
      <c r="N57" s="42">
        <f t="shared" si="38"/>
        <v>18599.999999999989</v>
      </c>
      <c r="O57" s="42">
        <f t="shared" si="38"/>
        <v>18799.999999999989</v>
      </c>
      <c r="P57" s="42">
        <f t="shared" si="38"/>
        <v>215499.99999999988</v>
      </c>
    </row>
    <row r="58" spans="2:16" ht="18" x14ac:dyDescent="0.4">
      <c r="B58" s="4"/>
    </row>
    <row r="59" spans="2:16" ht="18" x14ac:dyDescent="0.4">
      <c r="B59" s="4" t="s">
        <v>62</v>
      </c>
      <c r="D59" s="42">
        <f t="shared" ref="D59:P59" si="39">SUM(D29,D35,D41,D49,D57)</f>
        <v>666034.99999999988</v>
      </c>
      <c r="E59" s="42">
        <f t="shared" si="39"/>
        <v>218421.66666666657</v>
      </c>
      <c r="F59" s="42">
        <f t="shared" si="39"/>
        <v>218421.66666666657</v>
      </c>
      <c r="G59" s="42">
        <f t="shared" si="39"/>
        <v>219188.33333333323</v>
      </c>
      <c r="H59" s="42">
        <f t="shared" si="39"/>
        <v>238653.33333333323</v>
      </c>
      <c r="I59" s="42">
        <f t="shared" si="39"/>
        <v>224419.99999999988</v>
      </c>
      <c r="J59" s="42">
        <f t="shared" si="39"/>
        <v>242912.49999999988</v>
      </c>
      <c r="K59" s="42">
        <f t="shared" si="39"/>
        <v>228679.16666666657</v>
      </c>
      <c r="L59" s="42">
        <f t="shared" si="39"/>
        <v>228679.16666666657</v>
      </c>
      <c r="M59" s="42">
        <f t="shared" si="39"/>
        <v>248910.8333333332</v>
      </c>
      <c r="N59" s="42">
        <f t="shared" si="39"/>
        <v>255320.83333333323</v>
      </c>
      <c r="O59" s="42">
        <f t="shared" si="39"/>
        <v>241087.49999999988</v>
      </c>
      <c r="P59" s="42">
        <f t="shared" si="39"/>
        <v>3230729.9999999991</v>
      </c>
    </row>
    <row r="60" spans="2:16" ht="18" x14ac:dyDescent="0.4">
      <c r="B60" s="4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</row>
    <row r="61" spans="2:16" ht="18" x14ac:dyDescent="0.4">
      <c r="B61" s="64" t="s">
        <v>6</v>
      </c>
      <c r="C61" s="22" t="s">
        <v>13</v>
      </c>
      <c r="D61" s="21">
        <f t="shared" ref="D61:O61" si="40">D4</f>
        <v>45292</v>
      </c>
      <c r="E61" s="21">
        <f t="shared" si="40"/>
        <v>45323</v>
      </c>
      <c r="F61" s="21">
        <f t="shared" si="40"/>
        <v>45354</v>
      </c>
      <c r="G61" s="21">
        <f t="shared" si="40"/>
        <v>45385</v>
      </c>
      <c r="H61" s="21">
        <f t="shared" si="40"/>
        <v>45416</v>
      </c>
      <c r="I61" s="21">
        <f t="shared" si="40"/>
        <v>45447</v>
      </c>
      <c r="J61" s="21">
        <f t="shared" si="40"/>
        <v>45478</v>
      </c>
      <c r="K61" s="21">
        <f t="shared" si="40"/>
        <v>45509</v>
      </c>
      <c r="L61" s="21">
        <f t="shared" si="40"/>
        <v>45540</v>
      </c>
      <c r="M61" s="21">
        <f t="shared" si="40"/>
        <v>45571</v>
      </c>
      <c r="N61" s="21">
        <f t="shared" si="40"/>
        <v>45602</v>
      </c>
      <c r="O61" s="21">
        <f t="shared" si="40"/>
        <v>45633</v>
      </c>
      <c r="P61" s="21" t="s">
        <v>16</v>
      </c>
    </row>
    <row r="62" spans="2:16" ht="17.5" x14ac:dyDescent="0.35">
      <c r="B62" s="65" t="s">
        <v>98</v>
      </c>
      <c r="C62" s="2">
        <v>500000</v>
      </c>
      <c r="D62" s="40">
        <f t="shared" ref="D62:O62" si="41">$C$62*factor</f>
        <v>41666.666666666642</v>
      </c>
      <c r="E62" s="40">
        <f t="shared" si="41"/>
        <v>41666.666666666642</v>
      </c>
      <c r="F62" s="40">
        <f t="shared" si="41"/>
        <v>41666.666666666642</v>
      </c>
      <c r="G62" s="40">
        <f t="shared" si="41"/>
        <v>41666.666666666642</v>
      </c>
      <c r="H62" s="40">
        <f t="shared" si="41"/>
        <v>41666.666666666642</v>
      </c>
      <c r="I62" s="40">
        <f t="shared" si="41"/>
        <v>41666.666666666642</v>
      </c>
      <c r="J62" s="40">
        <f t="shared" si="41"/>
        <v>41666.666666666642</v>
      </c>
      <c r="K62" s="40">
        <f t="shared" si="41"/>
        <v>41666.666666666642</v>
      </c>
      <c r="L62" s="40">
        <f t="shared" si="41"/>
        <v>41666.666666666642</v>
      </c>
      <c r="M62" s="40">
        <f t="shared" si="41"/>
        <v>41666.666666666642</v>
      </c>
      <c r="N62" s="40">
        <f t="shared" si="41"/>
        <v>41666.666666666642</v>
      </c>
      <c r="O62" s="40">
        <f t="shared" si="41"/>
        <v>41666.666666666642</v>
      </c>
      <c r="P62" s="40">
        <f t="shared" ref="P62" si="42">SUM(D62:O62)</f>
        <v>499999.99999999959</v>
      </c>
    </row>
    <row r="63" spans="2:16" ht="17.5" x14ac:dyDescent="0.35">
      <c r="B63" s="15" t="s">
        <v>7</v>
      </c>
      <c r="C63" s="2">
        <v>0</v>
      </c>
      <c r="D63" s="40">
        <f t="shared" ref="D63:O63" si="43">$C$63*factor</f>
        <v>0</v>
      </c>
      <c r="E63" s="40">
        <f t="shared" si="43"/>
        <v>0</v>
      </c>
      <c r="F63" s="40">
        <f t="shared" si="43"/>
        <v>0</v>
      </c>
      <c r="G63" s="40">
        <f t="shared" si="43"/>
        <v>0</v>
      </c>
      <c r="H63" s="40">
        <f t="shared" si="43"/>
        <v>0</v>
      </c>
      <c r="I63" s="40">
        <f t="shared" si="43"/>
        <v>0</v>
      </c>
      <c r="J63" s="40">
        <f t="shared" si="43"/>
        <v>0</v>
      </c>
      <c r="K63" s="40">
        <f t="shared" si="43"/>
        <v>0</v>
      </c>
      <c r="L63" s="40">
        <f t="shared" si="43"/>
        <v>0</v>
      </c>
      <c r="M63" s="40">
        <f t="shared" si="43"/>
        <v>0</v>
      </c>
      <c r="N63" s="40">
        <f t="shared" si="43"/>
        <v>0</v>
      </c>
      <c r="O63" s="40">
        <f t="shared" si="43"/>
        <v>0</v>
      </c>
      <c r="P63" s="40">
        <f t="shared" ref="P63:P66" si="44">SUM(D63:O63)</f>
        <v>0</v>
      </c>
    </row>
    <row r="64" spans="2:16" ht="17.5" x14ac:dyDescent="0.35">
      <c r="B64" s="15" t="s">
        <v>8</v>
      </c>
      <c r="C64" s="2">
        <v>0</v>
      </c>
      <c r="D64" s="40">
        <f t="shared" ref="D64:O64" si="45">$C$64*factor</f>
        <v>0</v>
      </c>
      <c r="E64" s="40">
        <f t="shared" si="45"/>
        <v>0</v>
      </c>
      <c r="F64" s="40">
        <f t="shared" si="45"/>
        <v>0</v>
      </c>
      <c r="G64" s="40">
        <f t="shared" si="45"/>
        <v>0</v>
      </c>
      <c r="H64" s="40">
        <f t="shared" si="45"/>
        <v>0</v>
      </c>
      <c r="I64" s="40">
        <f t="shared" si="45"/>
        <v>0</v>
      </c>
      <c r="J64" s="40">
        <f t="shared" si="45"/>
        <v>0</v>
      </c>
      <c r="K64" s="40">
        <f t="shared" si="45"/>
        <v>0</v>
      </c>
      <c r="L64" s="40">
        <f t="shared" si="45"/>
        <v>0</v>
      </c>
      <c r="M64" s="40">
        <f t="shared" si="45"/>
        <v>0</v>
      </c>
      <c r="N64" s="40">
        <f t="shared" si="45"/>
        <v>0</v>
      </c>
      <c r="O64" s="40">
        <f t="shared" si="45"/>
        <v>0</v>
      </c>
      <c r="P64" s="40">
        <f t="shared" si="44"/>
        <v>0</v>
      </c>
    </row>
    <row r="65" spans="2:16" ht="17.5" x14ac:dyDescent="0.35">
      <c r="B65" s="15" t="s">
        <v>9</v>
      </c>
      <c r="C65" s="2">
        <v>0</v>
      </c>
      <c r="D65" s="40">
        <f t="shared" ref="D65:O65" si="46">$C$65*factor</f>
        <v>0</v>
      </c>
      <c r="E65" s="40">
        <f t="shared" si="46"/>
        <v>0</v>
      </c>
      <c r="F65" s="40">
        <f t="shared" si="46"/>
        <v>0</v>
      </c>
      <c r="G65" s="40">
        <f t="shared" si="46"/>
        <v>0</v>
      </c>
      <c r="H65" s="40">
        <f t="shared" si="46"/>
        <v>0</v>
      </c>
      <c r="I65" s="40">
        <f t="shared" si="46"/>
        <v>0</v>
      </c>
      <c r="J65" s="40">
        <f t="shared" si="46"/>
        <v>0</v>
      </c>
      <c r="K65" s="40">
        <f t="shared" si="46"/>
        <v>0</v>
      </c>
      <c r="L65" s="40">
        <f t="shared" si="46"/>
        <v>0</v>
      </c>
      <c r="M65" s="40">
        <f t="shared" si="46"/>
        <v>0</v>
      </c>
      <c r="N65" s="40">
        <f t="shared" si="46"/>
        <v>0</v>
      </c>
      <c r="O65" s="40">
        <f t="shared" si="46"/>
        <v>0</v>
      </c>
      <c r="P65" s="40">
        <f t="shared" si="44"/>
        <v>0</v>
      </c>
    </row>
    <row r="66" spans="2:16" ht="17.5" x14ac:dyDescent="0.35">
      <c r="B66" s="15" t="s">
        <v>10</v>
      </c>
      <c r="C66" s="2">
        <v>0</v>
      </c>
      <c r="D66" s="41">
        <f t="shared" ref="D66:O66" si="47">$C$66*factor</f>
        <v>0</v>
      </c>
      <c r="E66" s="41">
        <f t="shared" si="47"/>
        <v>0</v>
      </c>
      <c r="F66" s="41">
        <f t="shared" si="47"/>
        <v>0</v>
      </c>
      <c r="G66" s="41">
        <f t="shared" si="47"/>
        <v>0</v>
      </c>
      <c r="H66" s="41">
        <f t="shared" si="47"/>
        <v>0</v>
      </c>
      <c r="I66" s="41">
        <f t="shared" si="47"/>
        <v>0</v>
      </c>
      <c r="J66" s="41">
        <f t="shared" si="47"/>
        <v>0</v>
      </c>
      <c r="K66" s="41">
        <f t="shared" si="47"/>
        <v>0</v>
      </c>
      <c r="L66" s="41">
        <f t="shared" si="47"/>
        <v>0</v>
      </c>
      <c r="M66" s="41">
        <f t="shared" si="47"/>
        <v>0</v>
      </c>
      <c r="N66" s="41">
        <f t="shared" si="47"/>
        <v>0</v>
      </c>
      <c r="O66" s="41">
        <f t="shared" si="47"/>
        <v>0</v>
      </c>
      <c r="P66" s="41">
        <f t="shared" si="44"/>
        <v>0</v>
      </c>
    </row>
    <row r="67" spans="2:16" ht="18" x14ac:dyDescent="0.4">
      <c r="B67" s="4" t="str">
        <f>+"Total "&amp;B61</f>
        <v>Total Variable Costs</v>
      </c>
      <c r="C67" s="3"/>
      <c r="D67" s="42">
        <f>SUM(D62:D66)</f>
        <v>41666.666666666642</v>
      </c>
      <c r="E67" s="42">
        <f t="shared" ref="E67:P67" si="48">SUM(E62:E66)</f>
        <v>41666.666666666642</v>
      </c>
      <c r="F67" s="42">
        <f t="shared" si="48"/>
        <v>41666.666666666642</v>
      </c>
      <c r="G67" s="42">
        <f t="shared" si="48"/>
        <v>41666.666666666642</v>
      </c>
      <c r="H67" s="42">
        <f t="shared" si="48"/>
        <v>41666.666666666642</v>
      </c>
      <c r="I67" s="42">
        <f t="shared" si="48"/>
        <v>41666.666666666642</v>
      </c>
      <c r="J67" s="42">
        <f t="shared" si="48"/>
        <v>41666.666666666642</v>
      </c>
      <c r="K67" s="42">
        <f t="shared" si="48"/>
        <v>41666.666666666642</v>
      </c>
      <c r="L67" s="42">
        <f t="shared" si="48"/>
        <v>41666.666666666642</v>
      </c>
      <c r="M67" s="42">
        <f t="shared" si="48"/>
        <v>41666.666666666642</v>
      </c>
      <c r="N67" s="42">
        <f t="shared" si="48"/>
        <v>41666.666666666642</v>
      </c>
      <c r="O67" s="42">
        <f t="shared" si="48"/>
        <v>41666.666666666642</v>
      </c>
      <c r="P67" s="42">
        <f t="shared" si="48"/>
        <v>499999.99999999959</v>
      </c>
    </row>
    <row r="68" spans="2:16" ht="18" x14ac:dyDescent="0.4">
      <c r="B68" s="4"/>
    </row>
    <row r="69" spans="2:16" ht="18" x14ac:dyDescent="0.4">
      <c r="B69" s="4" t="s">
        <v>64</v>
      </c>
      <c r="D69" s="42">
        <f t="shared" ref="D69:P69" si="49">+D59+D67</f>
        <v>707701.66666666651</v>
      </c>
      <c r="E69" s="42">
        <f t="shared" si="49"/>
        <v>260088.3333333332</v>
      </c>
      <c r="F69" s="42">
        <f t="shared" si="49"/>
        <v>260088.3333333332</v>
      </c>
      <c r="G69" s="42">
        <f t="shared" si="49"/>
        <v>260854.99999999988</v>
      </c>
      <c r="H69" s="42">
        <f t="shared" si="49"/>
        <v>280319.99999999988</v>
      </c>
      <c r="I69" s="42">
        <f t="shared" si="49"/>
        <v>266086.66666666651</v>
      </c>
      <c r="J69" s="42">
        <f t="shared" si="49"/>
        <v>284579.16666666651</v>
      </c>
      <c r="K69" s="42">
        <f t="shared" si="49"/>
        <v>270345.8333333332</v>
      </c>
      <c r="L69" s="42">
        <f t="shared" si="49"/>
        <v>270345.8333333332</v>
      </c>
      <c r="M69" s="42">
        <f t="shared" si="49"/>
        <v>290577.49999999983</v>
      </c>
      <c r="N69" s="42">
        <f t="shared" si="49"/>
        <v>296987.49999999988</v>
      </c>
      <c r="O69" s="42">
        <f t="shared" si="49"/>
        <v>282754.16666666651</v>
      </c>
      <c r="P69" s="42">
        <f t="shared" si="49"/>
        <v>3730729.9999999986</v>
      </c>
    </row>
    <row r="70" spans="2:16" ht="17.5" x14ac:dyDescent="0.35">
      <c r="B70" s="14" t="s">
        <v>65</v>
      </c>
      <c r="D70" s="43">
        <f>D69/Revenue!D27</f>
        <v>0.13472333269877526</v>
      </c>
      <c r="E70" s="43">
        <f>E69/Revenue!E27</f>
        <v>4.8070235100669836E-2</v>
      </c>
      <c r="F70" s="43">
        <f>F69/Revenue!F27</f>
        <v>4.6670131165698875E-2</v>
      </c>
      <c r="G70" s="43">
        <f>G69/Revenue!G27</f>
        <v>4.5444370369420964E-2</v>
      </c>
      <c r="H70" s="43">
        <f>H69/Revenue!H27</f>
        <v>4.7413038125209549E-2</v>
      </c>
      <c r="I70" s="43">
        <f>I69/Revenue!I27</f>
        <v>4.3694783185640088E-2</v>
      </c>
      <c r="J70" s="43">
        <f>J69/Revenue!J27</f>
        <v>4.5370373474869018E-2</v>
      </c>
      <c r="K70" s="43">
        <f>K69/Revenue!K27</f>
        <v>4.1845783782672431E-2</v>
      </c>
      <c r="L70" s="43">
        <f>L69/Revenue!L27</f>
        <v>4.0626974546283917E-2</v>
      </c>
      <c r="M70" s="43">
        <f>M69/Revenue!M27</f>
        <v>4.239548030507901E-2</v>
      </c>
      <c r="N70" s="43">
        <f>N69/Revenue!N27</f>
        <v>4.2068644879191132E-2</v>
      </c>
      <c r="O70" s="43">
        <f>O69/Revenue!O27</f>
        <v>3.8885898733476559E-2</v>
      </c>
      <c r="P70" s="43">
        <f>P69/Revenue!P27</f>
        <v>5.0042835738920086E-2</v>
      </c>
    </row>
  </sheetData>
  <mergeCells count="3">
    <mergeCell ref="B2:P2"/>
    <mergeCell ref="B3:P3"/>
    <mergeCell ref="B23:P23"/>
  </mergeCells>
  <pageMargins left="0.7" right="0.7" top="0.75" bottom="0.75" header="0.3" footer="0.3"/>
  <pageSetup paperSize="9" orientation="portrait" r:id="rId1"/>
  <ignoredErrors>
    <ignoredError sqref="P63:P66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BC1F-B1B0-4A91-B0EE-494A0770FFC9}">
  <dimension ref="A1:P69"/>
  <sheetViews>
    <sheetView showGridLines="0" zoomScaleNormal="100" workbookViewId="0">
      <pane ySplit="2" topLeftCell="A3" activePane="bottomLeft" state="frozen"/>
      <selection pane="bottomLeft" activeCell="F132" sqref="F132"/>
    </sheetView>
  </sheetViews>
  <sheetFormatPr defaultColWidth="10.81640625" defaultRowHeight="14.5" x14ac:dyDescent="0.35"/>
  <cols>
    <col min="1" max="1" width="3" style="1" customWidth="1"/>
    <col min="2" max="2" width="50.81640625" customWidth="1"/>
    <col min="3" max="16" width="16.6328125" customWidth="1"/>
  </cols>
  <sheetData>
    <row r="1" spans="2:16" ht="5" customHeight="1" x14ac:dyDescent="0.35"/>
    <row r="2" spans="2:16" ht="25" customHeight="1" x14ac:dyDescent="0.35">
      <c r="B2" s="75" t="s">
        <v>69</v>
      </c>
      <c r="C2" s="76"/>
      <c r="D2" s="76"/>
      <c r="E2" s="76"/>
      <c r="F2" s="76"/>
      <c r="G2" s="76"/>
      <c r="H2" s="76"/>
      <c r="I2" s="77"/>
      <c r="J2" s="77"/>
      <c r="K2" s="77"/>
      <c r="L2" s="77"/>
      <c r="M2" s="77"/>
      <c r="N2" s="77"/>
      <c r="O2" s="77"/>
      <c r="P2" s="77"/>
    </row>
    <row r="3" spans="2:16" ht="17.5" customHeight="1" x14ac:dyDescent="0.35">
      <c r="B3" s="78" t="s">
        <v>20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2:16" ht="17.5" customHeight="1" x14ac:dyDescent="0.4">
      <c r="B4" s="4" t="s">
        <v>51</v>
      </c>
      <c r="C4" s="21" t="s">
        <v>70</v>
      </c>
      <c r="D4" s="21">
        <f>Revenue!D12</f>
        <v>45292</v>
      </c>
      <c r="E4" s="21">
        <f>Revenue!E12</f>
        <v>45323</v>
      </c>
      <c r="F4" s="21">
        <f>Revenue!F12</f>
        <v>45354</v>
      </c>
      <c r="G4" s="21">
        <f>Revenue!G12</f>
        <v>45385</v>
      </c>
      <c r="H4" s="21">
        <f>Revenue!H12</f>
        <v>45416</v>
      </c>
      <c r="I4" s="21">
        <f>Revenue!I12</f>
        <v>45447</v>
      </c>
      <c r="J4" s="21">
        <f>Revenue!J12</f>
        <v>45478</v>
      </c>
      <c r="K4" s="21">
        <f>Revenue!K12</f>
        <v>45509</v>
      </c>
      <c r="L4" s="21">
        <f>Revenue!L12</f>
        <v>45540</v>
      </c>
      <c r="M4" s="21">
        <f>Revenue!M12</f>
        <v>45571</v>
      </c>
      <c r="N4" s="21">
        <f>Revenue!N12</f>
        <v>45602</v>
      </c>
      <c r="O4" s="21">
        <f>Revenue!O12</f>
        <v>45633</v>
      </c>
      <c r="P4" s="12"/>
    </row>
    <row r="5" spans="2:16" ht="17.5" customHeight="1" x14ac:dyDescent="0.35">
      <c r="B5" s="3" t="s">
        <v>36</v>
      </c>
      <c r="C5" s="28">
        <v>1</v>
      </c>
      <c r="D5" s="23">
        <f>+C5</f>
        <v>1</v>
      </c>
      <c r="E5" s="23">
        <f t="shared" ref="E5:O5" si="0">+D5</f>
        <v>1</v>
      </c>
      <c r="F5" s="23">
        <f t="shared" si="0"/>
        <v>1</v>
      </c>
      <c r="G5" s="23">
        <f t="shared" si="0"/>
        <v>1</v>
      </c>
      <c r="H5" s="23">
        <f t="shared" si="0"/>
        <v>1</v>
      </c>
      <c r="I5" s="23">
        <f t="shared" si="0"/>
        <v>1</v>
      </c>
      <c r="J5" s="23">
        <f t="shared" si="0"/>
        <v>1</v>
      </c>
      <c r="K5" s="23">
        <f t="shared" si="0"/>
        <v>1</v>
      </c>
      <c r="L5" s="23">
        <f t="shared" si="0"/>
        <v>1</v>
      </c>
      <c r="M5" s="23">
        <f t="shared" si="0"/>
        <v>1</v>
      </c>
      <c r="N5" s="23">
        <f t="shared" si="0"/>
        <v>1</v>
      </c>
      <c r="O5" s="23">
        <f t="shared" si="0"/>
        <v>1</v>
      </c>
      <c r="P5" s="5"/>
    </row>
    <row r="6" spans="2:16" ht="17.5" customHeight="1" x14ac:dyDescent="0.35">
      <c r="B6" s="3" t="s">
        <v>37</v>
      </c>
      <c r="C6" s="28">
        <v>5</v>
      </c>
      <c r="D6" s="23">
        <f t="shared" ref="D6:O9" si="1">+C6</f>
        <v>5</v>
      </c>
      <c r="E6" s="23">
        <f t="shared" si="1"/>
        <v>5</v>
      </c>
      <c r="F6" s="23">
        <f t="shared" si="1"/>
        <v>5</v>
      </c>
      <c r="G6" s="23">
        <f t="shared" si="1"/>
        <v>5</v>
      </c>
      <c r="H6" s="23">
        <f t="shared" si="1"/>
        <v>5</v>
      </c>
      <c r="I6" s="23">
        <f t="shared" si="1"/>
        <v>5</v>
      </c>
      <c r="J6" s="23">
        <f t="shared" si="1"/>
        <v>5</v>
      </c>
      <c r="K6" s="23">
        <f t="shared" si="1"/>
        <v>5</v>
      </c>
      <c r="L6" s="23">
        <f t="shared" si="1"/>
        <v>5</v>
      </c>
      <c r="M6" s="23">
        <f t="shared" si="1"/>
        <v>5</v>
      </c>
      <c r="N6" s="23">
        <f t="shared" si="1"/>
        <v>5</v>
      </c>
      <c r="O6" s="23">
        <f t="shared" si="1"/>
        <v>5</v>
      </c>
      <c r="P6" s="5"/>
    </row>
    <row r="7" spans="2:16" ht="17.5" customHeight="1" x14ac:dyDescent="0.35">
      <c r="B7" s="3" t="s">
        <v>44</v>
      </c>
      <c r="C7" s="28">
        <v>7</v>
      </c>
      <c r="D7" s="23">
        <f t="shared" si="1"/>
        <v>7</v>
      </c>
      <c r="E7" s="23">
        <f t="shared" si="1"/>
        <v>7</v>
      </c>
      <c r="F7" s="23">
        <f t="shared" si="1"/>
        <v>7</v>
      </c>
      <c r="G7" s="23">
        <f t="shared" si="1"/>
        <v>7</v>
      </c>
      <c r="H7" s="23">
        <f t="shared" si="1"/>
        <v>7</v>
      </c>
      <c r="I7" s="23">
        <f t="shared" si="1"/>
        <v>7</v>
      </c>
      <c r="J7" s="23">
        <f t="shared" si="1"/>
        <v>7</v>
      </c>
      <c r="K7" s="23">
        <f t="shared" si="1"/>
        <v>7</v>
      </c>
      <c r="L7" s="23">
        <f t="shared" si="1"/>
        <v>7</v>
      </c>
      <c r="M7" s="23">
        <f t="shared" si="1"/>
        <v>7</v>
      </c>
      <c r="N7" s="23">
        <f t="shared" si="1"/>
        <v>7</v>
      </c>
      <c r="O7" s="23">
        <f t="shared" si="1"/>
        <v>7</v>
      </c>
      <c r="P7" s="5"/>
    </row>
    <row r="8" spans="2:16" ht="17.5" customHeight="1" x14ac:dyDescent="0.35">
      <c r="B8" s="3" t="s">
        <v>38</v>
      </c>
      <c r="C8" s="28">
        <v>7</v>
      </c>
      <c r="D8" s="23">
        <f t="shared" si="1"/>
        <v>7</v>
      </c>
      <c r="E8" s="23">
        <f t="shared" si="1"/>
        <v>7</v>
      </c>
      <c r="F8" s="23">
        <f t="shared" si="1"/>
        <v>7</v>
      </c>
      <c r="G8" s="23">
        <f t="shared" si="1"/>
        <v>7</v>
      </c>
      <c r="H8" s="23">
        <f t="shared" si="1"/>
        <v>7</v>
      </c>
      <c r="I8" s="23">
        <f t="shared" si="1"/>
        <v>7</v>
      </c>
      <c r="J8" s="23">
        <f t="shared" si="1"/>
        <v>7</v>
      </c>
      <c r="K8" s="23">
        <f t="shared" si="1"/>
        <v>7</v>
      </c>
      <c r="L8" s="23">
        <f t="shared" si="1"/>
        <v>7</v>
      </c>
      <c r="M8" s="23">
        <f t="shared" si="1"/>
        <v>7</v>
      </c>
      <c r="N8" s="23">
        <f t="shared" si="1"/>
        <v>7</v>
      </c>
      <c r="O8" s="23">
        <f t="shared" si="1"/>
        <v>7</v>
      </c>
      <c r="P8" s="5"/>
    </row>
    <row r="9" spans="2:16" ht="17.5" customHeight="1" x14ac:dyDescent="0.35">
      <c r="B9" s="3" t="s">
        <v>39</v>
      </c>
      <c r="C9" s="29">
        <v>2</v>
      </c>
      <c r="D9" s="24">
        <f t="shared" si="1"/>
        <v>2</v>
      </c>
      <c r="E9" s="24">
        <f t="shared" si="1"/>
        <v>2</v>
      </c>
      <c r="F9" s="24">
        <f t="shared" si="1"/>
        <v>2</v>
      </c>
      <c r="G9" s="24">
        <f t="shared" si="1"/>
        <v>2</v>
      </c>
      <c r="H9" s="24">
        <f t="shared" si="1"/>
        <v>2</v>
      </c>
      <c r="I9" s="24">
        <f t="shared" si="1"/>
        <v>2</v>
      </c>
      <c r="J9" s="24">
        <f t="shared" si="1"/>
        <v>2</v>
      </c>
      <c r="K9" s="24">
        <f t="shared" si="1"/>
        <v>2</v>
      </c>
      <c r="L9" s="24">
        <f t="shared" si="1"/>
        <v>2</v>
      </c>
      <c r="M9" s="24">
        <f t="shared" si="1"/>
        <v>2</v>
      </c>
      <c r="N9" s="24">
        <f t="shared" si="1"/>
        <v>2</v>
      </c>
      <c r="O9" s="24">
        <f t="shared" si="1"/>
        <v>2</v>
      </c>
      <c r="P9" s="5"/>
    </row>
    <row r="10" spans="2:16" ht="17.5" customHeight="1" x14ac:dyDescent="0.4">
      <c r="B10" s="4" t="s">
        <v>16</v>
      </c>
      <c r="C10" s="25">
        <f t="shared" ref="C10:O10" si="2">SUM(C5:C9)</f>
        <v>22</v>
      </c>
      <c r="D10" s="25">
        <f t="shared" si="2"/>
        <v>22</v>
      </c>
      <c r="E10" s="25">
        <f t="shared" si="2"/>
        <v>22</v>
      </c>
      <c r="F10" s="25">
        <f t="shared" si="2"/>
        <v>22</v>
      </c>
      <c r="G10" s="25">
        <f t="shared" si="2"/>
        <v>22</v>
      </c>
      <c r="H10" s="25">
        <f t="shared" si="2"/>
        <v>22</v>
      </c>
      <c r="I10" s="25">
        <f t="shared" si="2"/>
        <v>22</v>
      </c>
      <c r="J10" s="25">
        <f t="shared" si="2"/>
        <v>22</v>
      </c>
      <c r="K10" s="25">
        <f t="shared" si="2"/>
        <v>22</v>
      </c>
      <c r="L10" s="25">
        <f t="shared" si="2"/>
        <v>22</v>
      </c>
      <c r="M10" s="25">
        <f t="shared" si="2"/>
        <v>22</v>
      </c>
      <c r="N10" s="25">
        <f t="shared" si="2"/>
        <v>22</v>
      </c>
      <c r="O10" s="25">
        <f t="shared" si="2"/>
        <v>22</v>
      </c>
      <c r="P10" s="10"/>
    </row>
    <row r="11" spans="2:16" ht="17.5" customHeight="1" x14ac:dyDescent="0.4">
      <c r="B11" s="3" t="s">
        <v>24</v>
      </c>
      <c r="C11" s="30"/>
      <c r="D11" s="23">
        <f>D10-C10</f>
        <v>0</v>
      </c>
      <c r="E11" s="23">
        <f>E10-D10</f>
        <v>0</v>
      </c>
      <c r="F11" s="23">
        <f t="shared" ref="F11:O11" si="3">F10-E10</f>
        <v>0</v>
      </c>
      <c r="G11" s="23">
        <f t="shared" si="3"/>
        <v>0</v>
      </c>
      <c r="H11" s="23">
        <f t="shared" si="3"/>
        <v>0</v>
      </c>
      <c r="I11" s="23">
        <f t="shared" si="3"/>
        <v>0</v>
      </c>
      <c r="J11" s="23">
        <f t="shared" si="3"/>
        <v>0</v>
      </c>
      <c r="K11" s="23">
        <f t="shared" si="3"/>
        <v>0</v>
      </c>
      <c r="L11" s="23">
        <f t="shared" si="3"/>
        <v>0</v>
      </c>
      <c r="M11" s="23">
        <f t="shared" si="3"/>
        <v>0</v>
      </c>
      <c r="N11" s="23">
        <f t="shared" si="3"/>
        <v>0</v>
      </c>
      <c r="O11" s="23">
        <f t="shared" si="3"/>
        <v>0</v>
      </c>
      <c r="P11" s="10"/>
    </row>
    <row r="12" spans="2:16" ht="17.5" customHeight="1" x14ac:dyDescent="0.35">
      <c r="B12" s="3"/>
      <c r="C12" s="30" t="s">
        <v>13</v>
      </c>
      <c r="D12" s="30" t="s">
        <v>13</v>
      </c>
      <c r="E12" s="8"/>
      <c r="F12" s="3"/>
      <c r="G12" s="3"/>
      <c r="I12" s="17"/>
      <c r="J12" s="8"/>
      <c r="K12" s="8"/>
      <c r="L12" s="8"/>
      <c r="M12" s="8"/>
      <c r="N12" s="8"/>
      <c r="O12" s="8"/>
    </row>
    <row r="13" spans="2:16" ht="17.5" customHeight="1" x14ac:dyDescent="0.4">
      <c r="B13" s="4" t="s">
        <v>40</v>
      </c>
      <c r="C13" s="34" t="s">
        <v>41</v>
      </c>
      <c r="D13" s="35" t="s">
        <v>42</v>
      </c>
      <c r="E13" s="18"/>
      <c r="J13" s="18"/>
      <c r="K13" s="18"/>
      <c r="L13" s="4"/>
      <c r="M13" s="3"/>
      <c r="O13" s="30"/>
      <c r="P13" s="19"/>
    </row>
    <row r="14" spans="2:16" ht="17.5" customHeight="1" x14ac:dyDescent="0.35">
      <c r="B14" s="3" t="str">
        <f>B5</f>
        <v>Vice-President</v>
      </c>
      <c r="C14" s="2">
        <v>150000</v>
      </c>
      <c r="D14" s="31">
        <v>0.2</v>
      </c>
      <c r="E14" s="5"/>
      <c r="K14" s="31"/>
      <c r="L14" s="17"/>
      <c r="M14" s="3"/>
      <c r="O14" s="31"/>
      <c r="P14" s="5"/>
    </row>
    <row r="15" spans="2:16" ht="17.5" customHeight="1" x14ac:dyDescent="0.35">
      <c r="B15" s="3" t="str">
        <f>B6</f>
        <v>Manager</v>
      </c>
      <c r="C15" s="2">
        <v>75000</v>
      </c>
      <c r="D15" s="31">
        <v>0.2</v>
      </c>
      <c r="E15" s="5"/>
      <c r="F15" s="3"/>
      <c r="G15" s="31"/>
      <c r="H15" s="5"/>
      <c r="I15" s="3"/>
      <c r="K15" s="31"/>
      <c r="L15" s="17"/>
      <c r="M15" s="3"/>
      <c r="O15" s="31"/>
      <c r="P15" s="5"/>
    </row>
    <row r="16" spans="2:16" ht="17.5" customHeight="1" x14ac:dyDescent="0.35">
      <c r="B16" s="3" t="str">
        <f>B7</f>
        <v>Supervisor</v>
      </c>
      <c r="C16" s="2">
        <v>50000</v>
      </c>
      <c r="D16" s="31">
        <v>0.2</v>
      </c>
      <c r="E16" s="5"/>
      <c r="F16" s="3"/>
      <c r="G16" s="31"/>
      <c r="H16" s="5"/>
      <c r="I16" s="3"/>
      <c r="K16" s="31"/>
      <c r="L16" s="17"/>
      <c r="M16" s="3"/>
      <c r="O16" s="31"/>
      <c r="P16" s="5"/>
    </row>
    <row r="17" spans="2:16" ht="17.5" customHeight="1" x14ac:dyDescent="0.35">
      <c r="B17" s="3" t="str">
        <f>B8</f>
        <v>Analyst</v>
      </c>
      <c r="C17" s="2">
        <v>40000</v>
      </c>
      <c r="D17" s="31">
        <v>0.1</v>
      </c>
      <c r="E17" s="5"/>
      <c r="F17" s="3"/>
      <c r="G17" s="31"/>
      <c r="H17" s="5"/>
      <c r="I17" s="3"/>
      <c r="K17" s="31"/>
      <c r="L17" s="17"/>
      <c r="M17" s="3"/>
      <c r="O17" s="31"/>
      <c r="P17" s="5"/>
    </row>
    <row r="18" spans="2:16" ht="17.5" customHeight="1" x14ac:dyDescent="0.35">
      <c r="B18" s="3" t="str">
        <f>B9</f>
        <v>Admin. / Support</v>
      </c>
      <c r="C18" s="2">
        <v>30000</v>
      </c>
      <c r="D18" s="31">
        <v>0.05</v>
      </c>
      <c r="E18" s="5"/>
      <c r="H18" s="5"/>
      <c r="I18" s="3"/>
      <c r="K18" s="31"/>
      <c r="L18" s="3"/>
      <c r="M18" s="3"/>
      <c r="O18" s="32"/>
      <c r="P18" s="5"/>
    </row>
    <row r="19" spans="2:16" ht="17.5" customHeight="1" x14ac:dyDescent="0.4">
      <c r="B19" s="18" t="s">
        <v>143</v>
      </c>
      <c r="C19" s="18"/>
      <c r="D19" s="18" t="s">
        <v>88</v>
      </c>
      <c r="E19" s="4"/>
      <c r="H19" s="5"/>
      <c r="I19" s="3"/>
      <c r="K19" s="31"/>
      <c r="L19" s="3"/>
      <c r="M19" s="3"/>
      <c r="O19" s="32"/>
      <c r="P19" s="5"/>
    </row>
    <row r="20" spans="2:16" ht="17.5" customHeight="1" x14ac:dyDescent="0.35">
      <c r="B20" s="3" t="s">
        <v>71</v>
      </c>
      <c r="C20" s="31"/>
      <c r="D20" s="31">
        <v>0.25</v>
      </c>
      <c r="E20" s="3"/>
      <c r="H20" s="5"/>
      <c r="I20" s="3"/>
      <c r="K20" s="31"/>
      <c r="L20" s="3"/>
      <c r="M20" s="3"/>
      <c r="O20" s="32"/>
      <c r="P20" s="5"/>
    </row>
    <row r="21" spans="2:16" ht="18" x14ac:dyDescent="0.4">
      <c r="B21" s="4"/>
      <c r="C21" s="3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2:16" ht="17.5" customHeight="1" x14ac:dyDescent="0.35">
      <c r="B22" s="78" t="s">
        <v>5</v>
      </c>
      <c r="C22" s="76"/>
      <c r="D22" s="76"/>
      <c r="E22" s="76"/>
      <c r="F22" s="76"/>
      <c r="G22" s="76"/>
      <c r="H22" s="76"/>
      <c r="I22" s="77"/>
      <c r="J22" s="77"/>
      <c r="K22" s="77"/>
      <c r="L22" s="77"/>
      <c r="M22" s="77"/>
      <c r="N22" s="77"/>
      <c r="O22" s="77"/>
      <c r="P22" s="77"/>
    </row>
    <row r="23" spans="2:16" ht="18" x14ac:dyDescent="0.4">
      <c r="B23" s="4" t="s">
        <v>97</v>
      </c>
      <c r="C23" s="21" t="s">
        <v>134</v>
      </c>
      <c r="D23" s="21">
        <f>D4</f>
        <v>45292</v>
      </c>
      <c r="E23" s="21">
        <f t="shared" ref="E23:O23" si="4">E4</f>
        <v>45323</v>
      </c>
      <c r="F23" s="21">
        <f t="shared" si="4"/>
        <v>45354</v>
      </c>
      <c r="G23" s="21">
        <f t="shared" si="4"/>
        <v>45385</v>
      </c>
      <c r="H23" s="21">
        <f t="shared" si="4"/>
        <v>45416</v>
      </c>
      <c r="I23" s="21">
        <f t="shared" si="4"/>
        <v>45447</v>
      </c>
      <c r="J23" s="21">
        <f t="shared" si="4"/>
        <v>45478</v>
      </c>
      <c r="K23" s="21">
        <f t="shared" si="4"/>
        <v>45509</v>
      </c>
      <c r="L23" s="21">
        <f t="shared" si="4"/>
        <v>45540</v>
      </c>
      <c r="M23" s="21">
        <f t="shared" si="4"/>
        <v>45571</v>
      </c>
      <c r="N23" s="21">
        <f t="shared" si="4"/>
        <v>45602</v>
      </c>
      <c r="O23" s="21">
        <f t="shared" si="4"/>
        <v>45633</v>
      </c>
      <c r="P23" s="21" t="s">
        <v>17</v>
      </c>
    </row>
    <row r="24" spans="2:16" ht="17.5" x14ac:dyDescent="0.35">
      <c r="B24" s="14" t="s">
        <v>99</v>
      </c>
      <c r="C24" s="3"/>
      <c r="D24" s="40">
        <f t="shared" ref="D24:O24" si="5">SUMPRODUCT(D5:D9,$C$14:$C$18)*factor</f>
        <v>101249.99999999994</v>
      </c>
      <c r="E24" s="40">
        <f t="shared" si="5"/>
        <v>101249.99999999994</v>
      </c>
      <c r="F24" s="40">
        <f t="shared" si="5"/>
        <v>101249.99999999994</v>
      </c>
      <c r="G24" s="40">
        <f t="shared" si="5"/>
        <v>101249.99999999994</v>
      </c>
      <c r="H24" s="40">
        <f t="shared" si="5"/>
        <v>101249.99999999994</v>
      </c>
      <c r="I24" s="40">
        <f t="shared" si="5"/>
        <v>101249.99999999994</v>
      </c>
      <c r="J24" s="40">
        <f t="shared" si="5"/>
        <v>101249.99999999994</v>
      </c>
      <c r="K24" s="40">
        <f t="shared" si="5"/>
        <v>101249.99999999994</v>
      </c>
      <c r="L24" s="40">
        <f t="shared" si="5"/>
        <v>101249.99999999994</v>
      </c>
      <c r="M24" s="40">
        <f t="shared" si="5"/>
        <v>101249.99999999994</v>
      </c>
      <c r="N24" s="40">
        <f t="shared" si="5"/>
        <v>101249.99999999994</v>
      </c>
      <c r="O24" s="40">
        <f t="shared" si="5"/>
        <v>101249.99999999994</v>
      </c>
      <c r="P24" s="40">
        <f t="shared" ref="P24:P27" si="6">SUM(D24:O24)</f>
        <v>1214999.9999999995</v>
      </c>
    </row>
    <row r="25" spans="2:16" ht="17.5" x14ac:dyDescent="0.35">
      <c r="B25" s="14" t="s">
        <v>56</v>
      </c>
      <c r="C25" s="69" t="s">
        <v>68</v>
      </c>
      <c r="D25" s="40">
        <f>SUMPRODUCT(D5:D9,C14:C18,D14:D18)</f>
        <v>206000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f t="shared" si="6"/>
        <v>206000</v>
      </c>
    </row>
    <row r="26" spans="2:16" ht="17.5" x14ac:dyDescent="0.35">
      <c r="B26" s="14" t="s">
        <v>129</v>
      </c>
      <c r="C26" s="15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>
        <f t="shared" si="6"/>
        <v>0</v>
      </c>
    </row>
    <row r="27" spans="2:16" ht="17.5" x14ac:dyDescent="0.35">
      <c r="B27" s="14" t="s">
        <v>138</v>
      </c>
      <c r="C27" s="26">
        <v>0.12</v>
      </c>
      <c r="D27" s="41">
        <f>SUM(D24:D26)*$C$27</f>
        <v>36869.999999999993</v>
      </c>
      <c r="E27" s="41">
        <f t="shared" ref="E27:O27" si="7">SUM(E24:E26)*$C$27</f>
        <v>12149.999999999993</v>
      </c>
      <c r="F27" s="41">
        <f t="shared" si="7"/>
        <v>12149.999999999993</v>
      </c>
      <c r="G27" s="41">
        <f t="shared" si="7"/>
        <v>12149.999999999993</v>
      </c>
      <c r="H27" s="41">
        <f t="shared" si="7"/>
        <v>12149.999999999993</v>
      </c>
      <c r="I27" s="41">
        <f t="shared" si="7"/>
        <v>12149.999999999993</v>
      </c>
      <c r="J27" s="41">
        <f t="shared" si="7"/>
        <v>12149.999999999993</v>
      </c>
      <c r="K27" s="41">
        <f t="shared" si="7"/>
        <v>12149.999999999993</v>
      </c>
      <c r="L27" s="41">
        <f t="shared" si="7"/>
        <v>12149.999999999993</v>
      </c>
      <c r="M27" s="41">
        <f t="shared" si="7"/>
        <v>12149.999999999993</v>
      </c>
      <c r="N27" s="41">
        <f t="shared" si="7"/>
        <v>12149.999999999993</v>
      </c>
      <c r="O27" s="41">
        <f t="shared" si="7"/>
        <v>12149.999999999993</v>
      </c>
      <c r="P27" s="41">
        <f t="shared" si="6"/>
        <v>170519.99999999997</v>
      </c>
    </row>
    <row r="28" spans="2:16" ht="18" x14ac:dyDescent="0.4">
      <c r="B28" s="4" t="str">
        <f>+"Total "&amp;B23</f>
        <v xml:space="preserve">Total Payroll </v>
      </c>
      <c r="D28" s="42">
        <f>SUM(D24:D27)</f>
        <v>344119.99999999994</v>
      </c>
      <c r="E28" s="42">
        <f t="shared" ref="E28:P28" si="8">SUM(E24:E27)</f>
        <v>113399.99999999994</v>
      </c>
      <c r="F28" s="42">
        <f t="shared" si="8"/>
        <v>113399.99999999994</v>
      </c>
      <c r="G28" s="42">
        <f t="shared" si="8"/>
        <v>113399.99999999994</v>
      </c>
      <c r="H28" s="42">
        <f t="shared" si="8"/>
        <v>113399.99999999994</v>
      </c>
      <c r="I28" s="42">
        <f t="shared" si="8"/>
        <v>113399.99999999994</v>
      </c>
      <c r="J28" s="42">
        <f t="shared" si="8"/>
        <v>113399.99999999994</v>
      </c>
      <c r="K28" s="42">
        <f t="shared" si="8"/>
        <v>113399.99999999994</v>
      </c>
      <c r="L28" s="42">
        <f t="shared" si="8"/>
        <v>113399.99999999994</v>
      </c>
      <c r="M28" s="42">
        <f t="shared" si="8"/>
        <v>113399.99999999994</v>
      </c>
      <c r="N28" s="42">
        <f t="shared" si="8"/>
        <v>113399.99999999994</v>
      </c>
      <c r="O28" s="42">
        <f t="shared" si="8"/>
        <v>113399.99999999994</v>
      </c>
      <c r="P28" s="42">
        <f t="shared" si="8"/>
        <v>1591519.9999999995</v>
      </c>
    </row>
    <row r="29" spans="2:16" ht="18" customHeight="1" x14ac:dyDescent="0.4">
      <c r="B29" s="4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2:16" ht="18" customHeight="1" x14ac:dyDescent="0.4">
      <c r="B30" s="4" t="s">
        <v>28</v>
      </c>
      <c r="C30" s="22" t="s">
        <v>13</v>
      </c>
    </row>
    <row r="31" spans="2:16" ht="18" customHeight="1" x14ac:dyDescent="0.35">
      <c r="B31" s="14" t="s">
        <v>33</v>
      </c>
      <c r="C31" s="2">
        <v>15000</v>
      </c>
      <c r="D31" s="40">
        <f>+D10*C31</f>
        <v>330000</v>
      </c>
      <c r="E31" s="40">
        <f t="shared" ref="E31:O31" si="9">E11*$C$31</f>
        <v>0</v>
      </c>
      <c r="F31" s="40">
        <f t="shared" si="9"/>
        <v>0</v>
      </c>
      <c r="G31" s="40">
        <f t="shared" si="9"/>
        <v>0</v>
      </c>
      <c r="H31" s="40">
        <f t="shared" si="9"/>
        <v>0</v>
      </c>
      <c r="I31" s="40">
        <f t="shared" si="9"/>
        <v>0</v>
      </c>
      <c r="J31" s="40">
        <f t="shared" si="9"/>
        <v>0</v>
      </c>
      <c r="K31" s="40">
        <f t="shared" si="9"/>
        <v>0</v>
      </c>
      <c r="L31" s="40">
        <f t="shared" si="9"/>
        <v>0</v>
      </c>
      <c r="M31" s="40">
        <f t="shared" si="9"/>
        <v>0</v>
      </c>
      <c r="N31" s="40">
        <f t="shared" si="9"/>
        <v>0</v>
      </c>
      <c r="O31" s="40">
        <f t="shared" si="9"/>
        <v>0</v>
      </c>
      <c r="P31" s="40">
        <f t="shared" ref="P31:P33" si="10">SUM(D31:O31)</f>
        <v>330000</v>
      </c>
    </row>
    <row r="32" spans="2:16" ht="18" customHeight="1" x14ac:dyDescent="0.35">
      <c r="B32" s="14" t="s">
        <v>34</v>
      </c>
      <c r="C32" s="26">
        <v>4.7E-2</v>
      </c>
      <c r="D32" s="40">
        <f>+SUM(D24:D26)*$C$32</f>
        <v>14440.749999999998</v>
      </c>
      <c r="E32" s="40">
        <f t="shared" ref="E32:O32" si="11">+SUM(E24:E26)*$C$32</f>
        <v>4758.7499999999973</v>
      </c>
      <c r="F32" s="40">
        <f t="shared" si="11"/>
        <v>4758.7499999999973</v>
      </c>
      <c r="G32" s="40">
        <f t="shared" si="11"/>
        <v>4758.7499999999973</v>
      </c>
      <c r="H32" s="40">
        <f t="shared" si="11"/>
        <v>4758.7499999999973</v>
      </c>
      <c r="I32" s="40">
        <f t="shared" si="11"/>
        <v>4758.7499999999973</v>
      </c>
      <c r="J32" s="40">
        <f t="shared" si="11"/>
        <v>4758.7499999999973</v>
      </c>
      <c r="K32" s="40">
        <f t="shared" si="11"/>
        <v>4758.7499999999973</v>
      </c>
      <c r="L32" s="40">
        <f t="shared" si="11"/>
        <v>4758.7499999999973</v>
      </c>
      <c r="M32" s="40">
        <f t="shared" si="11"/>
        <v>4758.7499999999973</v>
      </c>
      <c r="N32" s="40">
        <f t="shared" si="11"/>
        <v>4758.7499999999973</v>
      </c>
      <c r="O32" s="40">
        <f t="shared" si="11"/>
        <v>4758.7499999999973</v>
      </c>
      <c r="P32" s="40">
        <f t="shared" si="10"/>
        <v>66786.999999999985</v>
      </c>
    </row>
    <row r="33" spans="2:16" ht="18" customHeight="1" x14ac:dyDescent="0.35">
      <c r="B33" s="14" t="s">
        <v>59</v>
      </c>
      <c r="C33" s="36">
        <v>1500</v>
      </c>
      <c r="D33" s="41">
        <f t="shared" ref="D33:O33" si="12">D10*$C$33*factor</f>
        <v>2749.9999999999986</v>
      </c>
      <c r="E33" s="41">
        <f t="shared" si="12"/>
        <v>2749.9999999999986</v>
      </c>
      <c r="F33" s="41">
        <f t="shared" si="12"/>
        <v>2749.9999999999986</v>
      </c>
      <c r="G33" s="41">
        <f t="shared" si="12"/>
        <v>2749.9999999999986</v>
      </c>
      <c r="H33" s="41">
        <f t="shared" si="12"/>
        <v>2749.9999999999986</v>
      </c>
      <c r="I33" s="41">
        <f t="shared" si="12"/>
        <v>2749.9999999999986</v>
      </c>
      <c r="J33" s="41">
        <f t="shared" si="12"/>
        <v>2749.9999999999986</v>
      </c>
      <c r="K33" s="41">
        <f t="shared" si="12"/>
        <v>2749.9999999999986</v>
      </c>
      <c r="L33" s="41">
        <f t="shared" si="12"/>
        <v>2749.9999999999986</v>
      </c>
      <c r="M33" s="41">
        <f t="shared" si="12"/>
        <v>2749.9999999999986</v>
      </c>
      <c r="N33" s="41">
        <f t="shared" si="12"/>
        <v>2749.9999999999986</v>
      </c>
      <c r="O33" s="41">
        <f t="shared" si="12"/>
        <v>2749.9999999999986</v>
      </c>
      <c r="P33" s="41">
        <f t="shared" si="10"/>
        <v>32999.999999999993</v>
      </c>
    </row>
    <row r="34" spans="2:16" ht="18" customHeight="1" x14ac:dyDescent="0.4">
      <c r="B34" s="4" t="str">
        <f>+"Total "&amp;B30</f>
        <v>Total Benefits &amp; Perks</v>
      </c>
      <c r="C34" s="42">
        <f>+C31+C33</f>
        <v>16500</v>
      </c>
      <c r="D34" s="42">
        <f t="shared" ref="D34:P34" si="13">SUM(D31:D33)</f>
        <v>347190.75</v>
      </c>
      <c r="E34" s="42">
        <f t="shared" si="13"/>
        <v>7508.7499999999964</v>
      </c>
      <c r="F34" s="42">
        <f t="shared" si="13"/>
        <v>7508.7499999999964</v>
      </c>
      <c r="G34" s="42">
        <f t="shared" si="13"/>
        <v>7508.7499999999964</v>
      </c>
      <c r="H34" s="42">
        <f t="shared" si="13"/>
        <v>7508.7499999999964</v>
      </c>
      <c r="I34" s="42">
        <f t="shared" si="13"/>
        <v>7508.7499999999964</v>
      </c>
      <c r="J34" s="42">
        <f t="shared" si="13"/>
        <v>7508.7499999999964</v>
      </c>
      <c r="K34" s="42">
        <f t="shared" si="13"/>
        <v>7508.7499999999964</v>
      </c>
      <c r="L34" s="42">
        <f t="shared" si="13"/>
        <v>7508.7499999999964</v>
      </c>
      <c r="M34" s="42">
        <f t="shared" si="13"/>
        <v>7508.7499999999964</v>
      </c>
      <c r="N34" s="42">
        <f t="shared" si="13"/>
        <v>7508.7499999999964</v>
      </c>
      <c r="O34" s="42">
        <f t="shared" si="13"/>
        <v>7508.7499999999964</v>
      </c>
      <c r="P34" s="42">
        <f t="shared" si="13"/>
        <v>429787</v>
      </c>
    </row>
    <row r="35" spans="2:16" ht="18" customHeight="1" x14ac:dyDescent="0.4">
      <c r="B35" s="4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2:16" ht="18" customHeight="1" x14ac:dyDescent="0.4">
      <c r="B36" s="4" t="s">
        <v>29</v>
      </c>
      <c r="C36" s="22" t="s">
        <v>13</v>
      </c>
    </row>
    <row r="37" spans="2:16" ht="18" customHeight="1" x14ac:dyDescent="0.35">
      <c r="B37" s="14" t="s">
        <v>30</v>
      </c>
      <c r="C37" s="2">
        <v>500</v>
      </c>
      <c r="D37" s="40">
        <f t="shared" ref="D37:O37" si="14">+D10*$C$37*factor</f>
        <v>916.66666666666617</v>
      </c>
      <c r="E37" s="40">
        <f t="shared" si="14"/>
        <v>916.66666666666617</v>
      </c>
      <c r="F37" s="40">
        <f t="shared" si="14"/>
        <v>916.66666666666617</v>
      </c>
      <c r="G37" s="40">
        <f t="shared" si="14"/>
        <v>916.66666666666617</v>
      </c>
      <c r="H37" s="40">
        <f t="shared" si="14"/>
        <v>916.66666666666617</v>
      </c>
      <c r="I37" s="40">
        <f t="shared" si="14"/>
        <v>916.66666666666617</v>
      </c>
      <c r="J37" s="40">
        <f t="shared" si="14"/>
        <v>916.66666666666617</v>
      </c>
      <c r="K37" s="40">
        <f t="shared" si="14"/>
        <v>916.66666666666617</v>
      </c>
      <c r="L37" s="40">
        <f t="shared" si="14"/>
        <v>916.66666666666617</v>
      </c>
      <c r="M37" s="40">
        <f t="shared" si="14"/>
        <v>916.66666666666617</v>
      </c>
      <c r="N37" s="40">
        <f t="shared" si="14"/>
        <v>916.66666666666617</v>
      </c>
      <c r="O37" s="40">
        <f t="shared" si="14"/>
        <v>916.66666666666617</v>
      </c>
      <c r="P37" s="40">
        <f t="shared" ref="P37:P39" si="15">SUM(D37:O37)</f>
        <v>10999.999999999995</v>
      </c>
    </row>
    <row r="38" spans="2:16" s="1" customFormat="1" ht="18" customHeight="1" x14ac:dyDescent="0.35">
      <c r="B38" s="20" t="s">
        <v>31</v>
      </c>
      <c r="C38" s="2">
        <v>500</v>
      </c>
      <c r="D38" s="40">
        <f t="shared" ref="D38:O38" si="16">+D10*$C$38*factor</f>
        <v>916.66666666666617</v>
      </c>
      <c r="E38" s="40">
        <f t="shared" si="16"/>
        <v>916.66666666666617</v>
      </c>
      <c r="F38" s="40">
        <f t="shared" si="16"/>
        <v>916.66666666666617</v>
      </c>
      <c r="G38" s="40">
        <f t="shared" si="16"/>
        <v>916.66666666666617</v>
      </c>
      <c r="H38" s="40">
        <f t="shared" si="16"/>
        <v>916.66666666666617</v>
      </c>
      <c r="I38" s="40">
        <f t="shared" si="16"/>
        <v>916.66666666666617</v>
      </c>
      <c r="J38" s="40">
        <f t="shared" si="16"/>
        <v>916.66666666666617</v>
      </c>
      <c r="K38" s="40">
        <f t="shared" si="16"/>
        <v>916.66666666666617</v>
      </c>
      <c r="L38" s="40">
        <f t="shared" si="16"/>
        <v>916.66666666666617</v>
      </c>
      <c r="M38" s="40">
        <f t="shared" si="16"/>
        <v>916.66666666666617</v>
      </c>
      <c r="N38" s="40">
        <f t="shared" si="16"/>
        <v>916.66666666666617</v>
      </c>
      <c r="O38" s="40">
        <f t="shared" si="16"/>
        <v>916.66666666666617</v>
      </c>
      <c r="P38" s="40">
        <f t="shared" si="15"/>
        <v>10999.999999999995</v>
      </c>
    </row>
    <row r="39" spans="2:16" ht="18" customHeight="1" x14ac:dyDescent="0.35">
      <c r="B39" s="14" t="s">
        <v>32</v>
      </c>
      <c r="C39" s="36">
        <v>300</v>
      </c>
      <c r="D39" s="41">
        <f t="shared" ref="D39:O39" si="17">+D10*$C$39*factor</f>
        <v>549.99999999999966</v>
      </c>
      <c r="E39" s="41">
        <f t="shared" si="17"/>
        <v>549.99999999999966</v>
      </c>
      <c r="F39" s="41">
        <f t="shared" si="17"/>
        <v>549.99999999999966</v>
      </c>
      <c r="G39" s="41">
        <f t="shared" si="17"/>
        <v>549.99999999999966</v>
      </c>
      <c r="H39" s="41">
        <f t="shared" si="17"/>
        <v>549.99999999999966</v>
      </c>
      <c r="I39" s="41">
        <f t="shared" si="17"/>
        <v>549.99999999999966</v>
      </c>
      <c r="J39" s="41">
        <f t="shared" si="17"/>
        <v>549.99999999999966</v>
      </c>
      <c r="K39" s="41">
        <f t="shared" si="17"/>
        <v>549.99999999999966</v>
      </c>
      <c r="L39" s="41">
        <f t="shared" si="17"/>
        <v>549.99999999999966</v>
      </c>
      <c r="M39" s="41">
        <f t="shared" si="17"/>
        <v>549.99999999999966</v>
      </c>
      <c r="N39" s="41">
        <f t="shared" si="17"/>
        <v>549.99999999999966</v>
      </c>
      <c r="O39" s="41">
        <f t="shared" si="17"/>
        <v>549.99999999999966</v>
      </c>
      <c r="P39" s="41">
        <f t="shared" si="15"/>
        <v>6599.9999999999973</v>
      </c>
    </row>
    <row r="40" spans="2:16" ht="18" x14ac:dyDescent="0.4">
      <c r="B40" s="4" t="str">
        <f>+"Total "&amp;B36</f>
        <v>Total Travel &amp; Lodging</v>
      </c>
      <c r="C40" s="42">
        <f t="shared" ref="C40:D40" si="18">SUM(C37:C39)</f>
        <v>1300</v>
      </c>
      <c r="D40" s="42">
        <f t="shared" si="18"/>
        <v>2383.3333333333321</v>
      </c>
      <c r="E40" s="42">
        <f t="shared" ref="E40:P40" si="19">SUM(E37:E39)</f>
        <v>2383.3333333333321</v>
      </c>
      <c r="F40" s="42">
        <f t="shared" si="19"/>
        <v>2383.3333333333321</v>
      </c>
      <c r="G40" s="42">
        <f t="shared" si="19"/>
        <v>2383.3333333333321</v>
      </c>
      <c r="H40" s="42">
        <f t="shared" si="19"/>
        <v>2383.3333333333321</v>
      </c>
      <c r="I40" s="42">
        <f t="shared" si="19"/>
        <v>2383.3333333333321</v>
      </c>
      <c r="J40" s="42">
        <f t="shared" si="19"/>
        <v>2383.3333333333321</v>
      </c>
      <c r="K40" s="42">
        <f t="shared" si="19"/>
        <v>2383.3333333333321</v>
      </c>
      <c r="L40" s="42">
        <f t="shared" si="19"/>
        <v>2383.3333333333321</v>
      </c>
      <c r="M40" s="42">
        <f t="shared" si="19"/>
        <v>2383.3333333333321</v>
      </c>
      <c r="N40" s="42">
        <f t="shared" si="19"/>
        <v>2383.3333333333321</v>
      </c>
      <c r="O40" s="42">
        <f t="shared" si="19"/>
        <v>2383.3333333333321</v>
      </c>
      <c r="P40" s="42">
        <f t="shared" si="19"/>
        <v>28599.999999999985</v>
      </c>
    </row>
    <row r="41" spans="2:16" ht="18" x14ac:dyDescent="0.4">
      <c r="B41" s="4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2:16" ht="18" x14ac:dyDescent="0.4">
      <c r="B42" s="38" t="s">
        <v>142</v>
      </c>
      <c r="C42" s="68" t="s">
        <v>13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2:16" ht="17.5" x14ac:dyDescent="0.35">
      <c r="B43" s="65" t="s">
        <v>71</v>
      </c>
      <c r="C43" s="40">
        <f>D20*C16</f>
        <v>12500</v>
      </c>
      <c r="D43" s="40">
        <f>$C$43*Headcount!D35</f>
        <v>0</v>
      </c>
      <c r="E43" s="40">
        <f>$C$43*Headcount!E35</f>
        <v>25000</v>
      </c>
      <c r="F43" s="40">
        <f>$C$43*Headcount!F35</f>
        <v>0</v>
      </c>
      <c r="G43" s="40">
        <f>$C$43*Headcount!G35</f>
        <v>25000</v>
      </c>
      <c r="H43" s="40">
        <f>$C$43*Headcount!H35</f>
        <v>12500</v>
      </c>
      <c r="I43" s="40">
        <f>$C$43*Headcount!I35</f>
        <v>25000</v>
      </c>
      <c r="J43" s="40">
        <f>$C$43*Headcount!J35</f>
        <v>12500</v>
      </c>
      <c r="K43" s="40">
        <f>$C$43*Headcount!K35</f>
        <v>25000</v>
      </c>
      <c r="L43" s="40">
        <f>$C$43*Headcount!L35</f>
        <v>0</v>
      </c>
      <c r="M43" s="40">
        <f>$C$43*Headcount!M35</f>
        <v>37500</v>
      </c>
      <c r="N43" s="40">
        <f>$C$43*Headcount!N35</f>
        <v>12500</v>
      </c>
      <c r="O43" s="40">
        <f>$C$43*Headcount!O35</f>
        <v>25000</v>
      </c>
      <c r="P43" s="40">
        <f>SUM(D43:O43)</f>
        <v>200000</v>
      </c>
    </row>
    <row r="44" spans="2:16" ht="17.5" x14ac:dyDescent="0.35">
      <c r="B44" s="65" t="s">
        <v>72</v>
      </c>
      <c r="C44" s="2">
        <v>100000</v>
      </c>
      <c r="D44" s="40">
        <f t="shared" ref="D44:O44" si="20">$C$44*factor</f>
        <v>8333.3333333333285</v>
      </c>
      <c r="E44" s="40">
        <f t="shared" si="20"/>
        <v>8333.3333333333285</v>
      </c>
      <c r="F44" s="40">
        <f t="shared" si="20"/>
        <v>8333.3333333333285</v>
      </c>
      <c r="G44" s="40">
        <f t="shared" si="20"/>
        <v>8333.3333333333285</v>
      </c>
      <c r="H44" s="40">
        <f t="shared" si="20"/>
        <v>8333.3333333333285</v>
      </c>
      <c r="I44" s="40">
        <f t="shared" si="20"/>
        <v>8333.3333333333285</v>
      </c>
      <c r="J44" s="40">
        <f t="shared" si="20"/>
        <v>8333.3333333333285</v>
      </c>
      <c r="K44" s="40">
        <f t="shared" si="20"/>
        <v>8333.3333333333285</v>
      </c>
      <c r="L44" s="40">
        <f t="shared" si="20"/>
        <v>8333.3333333333285</v>
      </c>
      <c r="M44" s="40">
        <f t="shared" si="20"/>
        <v>8333.3333333333285</v>
      </c>
      <c r="N44" s="40">
        <f t="shared" si="20"/>
        <v>8333.3333333333285</v>
      </c>
      <c r="O44" s="40">
        <f t="shared" si="20"/>
        <v>8333.3333333333285</v>
      </c>
      <c r="P44" s="40">
        <f>SUM(D44:O44)</f>
        <v>99999.999999999942</v>
      </c>
    </row>
    <row r="45" spans="2:16" ht="17.5" x14ac:dyDescent="0.35">
      <c r="B45" s="65" t="s">
        <v>89</v>
      </c>
      <c r="C45" s="2">
        <v>4000</v>
      </c>
      <c r="D45" s="40">
        <f>$C45*factor*Headcount!D23</f>
        <v>54999.999999999971</v>
      </c>
      <c r="E45" s="40">
        <f>$C45*factor*Headcount!E23</f>
        <v>55666.666666666635</v>
      </c>
      <c r="F45" s="40">
        <f>$C45*factor*Headcount!F23</f>
        <v>55666.666666666635</v>
      </c>
      <c r="G45" s="40">
        <f>$C45*factor*Headcount!G23</f>
        <v>56333.333333333299</v>
      </c>
      <c r="H45" s="40">
        <f>$C45*factor*Headcount!H23</f>
        <v>56666.666666666635</v>
      </c>
      <c r="I45" s="40">
        <f>$C45*factor*Headcount!I23</f>
        <v>57333.333333333299</v>
      </c>
      <c r="J45" s="40">
        <f>$C45*factor*Headcount!J23</f>
        <v>57666.666666666635</v>
      </c>
      <c r="K45" s="40">
        <f>$C45*factor*Headcount!K23</f>
        <v>58333.333333333299</v>
      </c>
      <c r="L45" s="40">
        <f>$C45*factor*Headcount!L23</f>
        <v>58333.333333333299</v>
      </c>
      <c r="M45" s="40">
        <f>$C45*factor*Headcount!M23</f>
        <v>59333.333333333299</v>
      </c>
      <c r="N45" s="40">
        <f>$C45*factor*Headcount!N23</f>
        <v>59666.666666666635</v>
      </c>
      <c r="O45" s="40">
        <f>$C45*factor*Headcount!O23</f>
        <v>60333.333333333299</v>
      </c>
      <c r="P45" s="40">
        <f>SUM(D45:O45)</f>
        <v>690333.33333333291</v>
      </c>
    </row>
    <row r="46" spans="2:16" ht="17.5" x14ac:dyDescent="0.35">
      <c r="B46" s="65" t="s">
        <v>73</v>
      </c>
      <c r="C46" s="2">
        <v>1500</v>
      </c>
      <c r="D46" s="40">
        <f>$C$46*factor*Headcount!D23</f>
        <v>20624.999999999989</v>
      </c>
      <c r="E46" s="40">
        <f>$C$46*factor*Headcount!E23</f>
        <v>20874.999999999989</v>
      </c>
      <c r="F46" s="40">
        <f>$C$46*factor*Headcount!F23</f>
        <v>20874.999999999989</v>
      </c>
      <c r="G46" s="40">
        <f>$C$46*factor*Headcount!G23</f>
        <v>21124.999999999989</v>
      </c>
      <c r="H46" s="40">
        <f>$C$46*factor*Headcount!H23</f>
        <v>21249.999999999989</v>
      </c>
      <c r="I46" s="40">
        <f>$C$46*factor*Headcount!I23</f>
        <v>21499.999999999989</v>
      </c>
      <c r="J46" s="40">
        <f>$C$46*factor*Headcount!J23</f>
        <v>21624.999999999989</v>
      </c>
      <c r="K46" s="40">
        <f>$C$46*factor*Headcount!K23</f>
        <v>21874.999999999989</v>
      </c>
      <c r="L46" s="40">
        <f>$C$46*factor*Headcount!L23</f>
        <v>21874.999999999989</v>
      </c>
      <c r="M46" s="40">
        <f>$C$46*factor*Headcount!M23</f>
        <v>22249.999999999989</v>
      </c>
      <c r="N46" s="40">
        <f>$C$46*factor*Headcount!N23</f>
        <v>22374.999999999989</v>
      </c>
      <c r="O46" s="40">
        <f>$C$46*factor*Headcount!O23</f>
        <v>22624.999999999985</v>
      </c>
      <c r="P46" s="40">
        <f t="shared" ref="P46" si="21">SUM(D46:O46)</f>
        <v>258874.99999999988</v>
      </c>
    </row>
    <row r="47" spans="2:16" ht="17.5" x14ac:dyDescent="0.35">
      <c r="B47" s="15" t="s">
        <v>127</v>
      </c>
      <c r="C47" s="2">
        <v>0</v>
      </c>
      <c r="D47" s="41">
        <f t="shared" ref="D47:O47" si="22">$C$47*D$10*factor</f>
        <v>0</v>
      </c>
      <c r="E47" s="41">
        <f t="shared" si="22"/>
        <v>0</v>
      </c>
      <c r="F47" s="41">
        <f t="shared" si="22"/>
        <v>0</v>
      </c>
      <c r="G47" s="41">
        <f t="shared" si="22"/>
        <v>0</v>
      </c>
      <c r="H47" s="41">
        <f t="shared" si="22"/>
        <v>0</v>
      </c>
      <c r="I47" s="41">
        <f t="shared" si="22"/>
        <v>0</v>
      </c>
      <c r="J47" s="41">
        <f t="shared" si="22"/>
        <v>0</v>
      </c>
      <c r="K47" s="41">
        <f t="shared" si="22"/>
        <v>0</v>
      </c>
      <c r="L47" s="41">
        <f t="shared" si="22"/>
        <v>0</v>
      </c>
      <c r="M47" s="41">
        <f t="shared" si="22"/>
        <v>0</v>
      </c>
      <c r="N47" s="41">
        <f t="shared" si="22"/>
        <v>0</v>
      </c>
      <c r="O47" s="41">
        <f t="shared" si="22"/>
        <v>0</v>
      </c>
      <c r="P47" s="41">
        <f t="shared" ref="P47" si="23">SUM(D47:O47)</f>
        <v>0</v>
      </c>
    </row>
    <row r="48" spans="2:16" ht="18" x14ac:dyDescent="0.4">
      <c r="B48" s="4" t="str">
        <f>+"Total "&amp;B42</f>
        <v>Total Organizational Support</v>
      </c>
      <c r="C48" s="39"/>
      <c r="D48" s="42">
        <f t="shared" ref="D48:P48" si="24">SUM(D43:D47)</f>
        <v>83958.333333333285</v>
      </c>
      <c r="E48" s="42">
        <f t="shared" si="24"/>
        <v>109874.99999999996</v>
      </c>
      <c r="F48" s="42">
        <f t="shared" si="24"/>
        <v>84874.999999999956</v>
      </c>
      <c r="G48" s="42">
        <f t="shared" si="24"/>
        <v>110791.66666666661</v>
      </c>
      <c r="H48" s="42">
        <f t="shared" si="24"/>
        <v>98749.999999999956</v>
      </c>
      <c r="I48" s="42">
        <f t="shared" si="24"/>
        <v>112166.66666666661</v>
      </c>
      <c r="J48" s="42">
        <f t="shared" si="24"/>
        <v>100124.99999999996</v>
      </c>
      <c r="K48" s="42">
        <f t="shared" si="24"/>
        <v>113541.66666666661</v>
      </c>
      <c r="L48" s="42">
        <f t="shared" si="24"/>
        <v>88541.666666666613</v>
      </c>
      <c r="M48" s="42">
        <f t="shared" si="24"/>
        <v>127416.66666666661</v>
      </c>
      <c r="N48" s="42">
        <f t="shared" si="24"/>
        <v>102874.99999999996</v>
      </c>
      <c r="O48" s="42">
        <f t="shared" si="24"/>
        <v>116291.66666666661</v>
      </c>
      <c r="P48" s="42">
        <f t="shared" si="24"/>
        <v>1249208.3333333326</v>
      </c>
    </row>
    <row r="49" spans="2:16" ht="18" x14ac:dyDescent="0.4">
      <c r="B49" s="4"/>
      <c r="C49" s="15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2:16" ht="18" x14ac:dyDescent="0.4">
      <c r="B50" s="38" t="s">
        <v>122</v>
      </c>
      <c r="C50" s="68" t="s">
        <v>13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2:16" ht="17.5" x14ac:dyDescent="0.35">
      <c r="B51" s="15" t="s">
        <v>123</v>
      </c>
      <c r="C51" s="2">
        <v>0</v>
      </c>
      <c r="D51" s="40">
        <f t="shared" ref="D51:O55" si="25">$C51*factor</f>
        <v>0</v>
      </c>
      <c r="E51" s="40">
        <f t="shared" si="25"/>
        <v>0</v>
      </c>
      <c r="F51" s="40">
        <f t="shared" si="25"/>
        <v>0</v>
      </c>
      <c r="G51" s="40">
        <f t="shared" si="25"/>
        <v>0</v>
      </c>
      <c r="H51" s="40">
        <f t="shared" si="25"/>
        <v>0</v>
      </c>
      <c r="I51" s="40">
        <f t="shared" si="25"/>
        <v>0</v>
      </c>
      <c r="J51" s="40">
        <f t="shared" si="25"/>
        <v>0</v>
      </c>
      <c r="K51" s="40">
        <f t="shared" si="25"/>
        <v>0</v>
      </c>
      <c r="L51" s="40">
        <f t="shared" si="25"/>
        <v>0</v>
      </c>
      <c r="M51" s="40">
        <f t="shared" si="25"/>
        <v>0</v>
      </c>
      <c r="N51" s="40">
        <f t="shared" si="25"/>
        <v>0</v>
      </c>
      <c r="O51" s="40">
        <f t="shared" si="25"/>
        <v>0</v>
      </c>
      <c r="P51" s="40">
        <f>SUM(D51:O51)</f>
        <v>0</v>
      </c>
    </row>
    <row r="52" spans="2:16" ht="17.5" x14ac:dyDescent="0.35">
      <c r="B52" s="15" t="s">
        <v>124</v>
      </c>
      <c r="C52" s="2">
        <v>0</v>
      </c>
      <c r="D52" s="40">
        <f t="shared" si="25"/>
        <v>0</v>
      </c>
      <c r="E52" s="40">
        <f t="shared" si="25"/>
        <v>0</v>
      </c>
      <c r="F52" s="40">
        <f t="shared" si="25"/>
        <v>0</v>
      </c>
      <c r="G52" s="40">
        <f t="shared" si="25"/>
        <v>0</v>
      </c>
      <c r="H52" s="40">
        <f t="shared" si="25"/>
        <v>0</v>
      </c>
      <c r="I52" s="40">
        <f t="shared" si="25"/>
        <v>0</v>
      </c>
      <c r="J52" s="40">
        <f t="shared" si="25"/>
        <v>0</v>
      </c>
      <c r="K52" s="40">
        <f t="shared" si="25"/>
        <v>0</v>
      </c>
      <c r="L52" s="40">
        <f t="shared" si="25"/>
        <v>0</v>
      </c>
      <c r="M52" s="40">
        <f t="shared" si="25"/>
        <v>0</v>
      </c>
      <c r="N52" s="40">
        <f t="shared" si="25"/>
        <v>0</v>
      </c>
      <c r="O52" s="40">
        <f t="shared" si="25"/>
        <v>0</v>
      </c>
      <c r="P52" s="40">
        <f t="shared" ref="P52:P55" si="26">SUM(D52:O52)</f>
        <v>0</v>
      </c>
    </row>
    <row r="53" spans="2:16" ht="17.5" x14ac:dyDescent="0.35">
      <c r="B53" s="15" t="s">
        <v>125</v>
      </c>
      <c r="C53" s="2"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6"/>
        <v>0</v>
      </c>
    </row>
    <row r="54" spans="2:16" ht="17.5" x14ac:dyDescent="0.35">
      <c r="B54" s="15" t="s">
        <v>126</v>
      </c>
      <c r="C54" s="2">
        <v>0</v>
      </c>
      <c r="D54" s="40">
        <f t="shared" si="25"/>
        <v>0</v>
      </c>
      <c r="E54" s="40">
        <f t="shared" si="25"/>
        <v>0</v>
      </c>
      <c r="F54" s="40">
        <f t="shared" si="25"/>
        <v>0</v>
      </c>
      <c r="G54" s="40">
        <f t="shared" si="25"/>
        <v>0</v>
      </c>
      <c r="H54" s="40">
        <f t="shared" si="25"/>
        <v>0</v>
      </c>
      <c r="I54" s="40">
        <f t="shared" si="25"/>
        <v>0</v>
      </c>
      <c r="J54" s="40">
        <f t="shared" si="25"/>
        <v>0</v>
      </c>
      <c r="K54" s="40">
        <f t="shared" si="25"/>
        <v>0</v>
      </c>
      <c r="L54" s="40">
        <f t="shared" si="25"/>
        <v>0</v>
      </c>
      <c r="M54" s="40">
        <f t="shared" si="25"/>
        <v>0</v>
      </c>
      <c r="N54" s="40">
        <f t="shared" si="25"/>
        <v>0</v>
      </c>
      <c r="O54" s="40">
        <f t="shared" si="25"/>
        <v>0</v>
      </c>
      <c r="P54" s="40">
        <f t="shared" si="26"/>
        <v>0</v>
      </c>
    </row>
    <row r="55" spans="2:16" ht="17.5" x14ac:dyDescent="0.35">
      <c r="B55" s="15" t="s">
        <v>127</v>
      </c>
      <c r="C55" s="2">
        <v>0</v>
      </c>
      <c r="D55" s="41">
        <f t="shared" si="25"/>
        <v>0</v>
      </c>
      <c r="E55" s="41">
        <f t="shared" si="25"/>
        <v>0</v>
      </c>
      <c r="F55" s="41">
        <f t="shared" si="25"/>
        <v>0</v>
      </c>
      <c r="G55" s="41">
        <f t="shared" si="25"/>
        <v>0</v>
      </c>
      <c r="H55" s="41">
        <f t="shared" si="25"/>
        <v>0</v>
      </c>
      <c r="I55" s="41">
        <f t="shared" si="25"/>
        <v>0</v>
      </c>
      <c r="J55" s="41">
        <f t="shared" si="25"/>
        <v>0</v>
      </c>
      <c r="K55" s="41">
        <f t="shared" si="25"/>
        <v>0</v>
      </c>
      <c r="L55" s="41">
        <f t="shared" si="25"/>
        <v>0</v>
      </c>
      <c r="M55" s="41">
        <f t="shared" si="25"/>
        <v>0</v>
      </c>
      <c r="N55" s="41">
        <f t="shared" si="25"/>
        <v>0</v>
      </c>
      <c r="O55" s="41">
        <f t="shared" si="25"/>
        <v>0</v>
      </c>
      <c r="P55" s="41">
        <f t="shared" si="26"/>
        <v>0</v>
      </c>
    </row>
    <row r="56" spans="2:16" ht="18" x14ac:dyDescent="0.4">
      <c r="B56" s="4" t="str">
        <f>+"Total "&amp;B50</f>
        <v xml:space="preserve">Total Fixed Cost Category </v>
      </c>
      <c r="C56" s="39"/>
      <c r="D56" s="42">
        <f>SUM(D51:D55)</f>
        <v>0</v>
      </c>
      <c r="E56" s="42">
        <f t="shared" ref="E56:P56" si="27">SUM(E51:E55)</f>
        <v>0</v>
      </c>
      <c r="F56" s="42">
        <f t="shared" si="27"/>
        <v>0</v>
      </c>
      <c r="G56" s="42">
        <f t="shared" si="27"/>
        <v>0</v>
      </c>
      <c r="H56" s="42">
        <f t="shared" si="27"/>
        <v>0</v>
      </c>
      <c r="I56" s="42">
        <f t="shared" si="27"/>
        <v>0</v>
      </c>
      <c r="J56" s="42">
        <f t="shared" si="27"/>
        <v>0</v>
      </c>
      <c r="K56" s="42">
        <f t="shared" si="27"/>
        <v>0</v>
      </c>
      <c r="L56" s="42">
        <f t="shared" si="27"/>
        <v>0</v>
      </c>
      <c r="M56" s="42">
        <f t="shared" si="27"/>
        <v>0</v>
      </c>
      <c r="N56" s="42">
        <f t="shared" si="27"/>
        <v>0</v>
      </c>
      <c r="O56" s="42">
        <f t="shared" si="27"/>
        <v>0</v>
      </c>
      <c r="P56" s="42">
        <f t="shared" si="27"/>
        <v>0</v>
      </c>
    </row>
    <row r="57" spans="2:16" ht="18" x14ac:dyDescent="0.4">
      <c r="B57" s="4"/>
    </row>
    <row r="58" spans="2:16" ht="18" x14ac:dyDescent="0.4">
      <c r="B58" s="4" t="s">
        <v>62</v>
      </c>
      <c r="D58" s="42">
        <f t="shared" ref="D58:P58" si="28">SUM(D28,D34,D40,D48,D56)</f>
        <v>777652.41666666663</v>
      </c>
      <c r="E58" s="42">
        <f t="shared" si="28"/>
        <v>233167.08333333323</v>
      </c>
      <c r="F58" s="42">
        <f t="shared" si="28"/>
        <v>208167.08333333323</v>
      </c>
      <c r="G58" s="42">
        <f t="shared" si="28"/>
        <v>234083.74999999988</v>
      </c>
      <c r="H58" s="42">
        <f t="shared" si="28"/>
        <v>222042.08333333323</v>
      </c>
      <c r="I58" s="42">
        <f t="shared" si="28"/>
        <v>235458.74999999988</v>
      </c>
      <c r="J58" s="42">
        <f t="shared" si="28"/>
        <v>223417.08333333323</v>
      </c>
      <c r="K58" s="42">
        <f t="shared" si="28"/>
        <v>236833.74999999988</v>
      </c>
      <c r="L58" s="42">
        <f t="shared" si="28"/>
        <v>211833.74999999988</v>
      </c>
      <c r="M58" s="42">
        <f t="shared" si="28"/>
        <v>250708.74999999988</v>
      </c>
      <c r="N58" s="42">
        <f t="shared" si="28"/>
        <v>226167.08333333323</v>
      </c>
      <c r="O58" s="42">
        <f t="shared" si="28"/>
        <v>239583.74999999988</v>
      </c>
      <c r="P58" s="42">
        <f t="shared" si="28"/>
        <v>3299115.3333333321</v>
      </c>
    </row>
    <row r="59" spans="2:16" ht="18" x14ac:dyDescent="0.4">
      <c r="B59" s="4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</row>
    <row r="60" spans="2:16" ht="18" x14ac:dyDescent="0.4">
      <c r="B60" s="4" t="s">
        <v>6</v>
      </c>
      <c r="C60" s="16"/>
      <c r="D60" s="21">
        <f>D23</f>
        <v>45292</v>
      </c>
      <c r="E60" s="21">
        <f t="shared" ref="E60:P60" si="29">E23</f>
        <v>45323</v>
      </c>
      <c r="F60" s="21">
        <f t="shared" si="29"/>
        <v>45354</v>
      </c>
      <c r="G60" s="21">
        <f t="shared" si="29"/>
        <v>45385</v>
      </c>
      <c r="H60" s="21">
        <f t="shared" si="29"/>
        <v>45416</v>
      </c>
      <c r="I60" s="21">
        <f t="shared" si="29"/>
        <v>45447</v>
      </c>
      <c r="J60" s="21">
        <f t="shared" si="29"/>
        <v>45478</v>
      </c>
      <c r="K60" s="21">
        <f t="shared" si="29"/>
        <v>45509</v>
      </c>
      <c r="L60" s="21">
        <f t="shared" si="29"/>
        <v>45540</v>
      </c>
      <c r="M60" s="21">
        <f t="shared" si="29"/>
        <v>45571</v>
      </c>
      <c r="N60" s="21">
        <f t="shared" si="29"/>
        <v>45602</v>
      </c>
      <c r="O60" s="21">
        <f t="shared" si="29"/>
        <v>45633</v>
      </c>
      <c r="P60" s="21" t="str">
        <f t="shared" si="29"/>
        <v>Year</v>
      </c>
    </row>
    <row r="61" spans="2:16" ht="17.5" x14ac:dyDescent="0.35">
      <c r="B61" s="65" t="s">
        <v>60</v>
      </c>
      <c r="C61" s="15" t="s">
        <v>26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40">
        <f t="shared" ref="P61:P65" si="30">SUM(D61:O61)</f>
        <v>0</v>
      </c>
    </row>
    <row r="62" spans="2:16" ht="17.5" x14ac:dyDescent="0.35">
      <c r="B62" s="65" t="s">
        <v>7</v>
      </c>
      <c r="C62" s="15" t="s">
        <v>26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40">
        <f t="shared" si="30"/>
        <v>0</v>
      </c>
    </row>
    <row r="63" spans="2:16" ht="17.5" x14ac:dyDescent="0.35">
      <c r="B63" s="65" t="s">
        <v>8</v>
      </c>
      <c r="C63" s="15" t="s">
        <v>26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40">
        <f t="shared" si="30"/>
        <v>0</v>
      </c>
    </row>
    <row r="64" spans="2:16" ht="17.5" x14ac:dyDescent="0.35">
      <c r="B64" s="65" t="s">
        <v>9</v>
      </c>
      <c r="C64" s="15" t="s">
        <v>26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40">
        <f t="shared" si="30"/>
        <v>0</v>
      </c>
    </row>
    <row r="65" spans="2:16" ht="17.5" x14ac:dyDescent="0.35">
      <c r="B65" s="65" t="s">
        <v>10</v>
      </c>
      <c r="C65" s="15" t="s">
        <v>26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41">
        <f t="shared" si="30"/>
        <v>0</v>
      </c>
    </row>
    <row r="66" spans="2:16" ht="18" x14ac:dyDescent="0.4">
      <c r="B66" s="4" t="str">
        <f>+"Total "&amp;B60</f>
        <v>Total Variable Costs</v>
      </c>
      <c r="C66" s="3"/>
      <c r="D66" s="42">
        <f>SUM(D61:D65)</f>
        <v>0</v>
      </c>
      <c r="E66" s="42">
        <f t="shared" ref="E66:P66" si="31">SUM(E61:E65)</f>
        <v>0</v>
      </c>
      <c r="F66" s="42">
        <f t="shared" si="31"/>
        <v>0</v>
      </c>
      <c r="G66" s="42">
        <f t="shared" si="31"/>
        <v>0</v>
      </c>
      <c r="H66" s="42">
        <f t="shared" si="31"/>
        <v>0</v>
      </c>
      <c r="I66" s="42">
        <f t="shared" si="31"/>
        <v>0</v>
      </c>
      <c r="J66" s="42">
        <f t="shared" si="31"/>
        <v>0</v>
      </c>
      <c r="K66" s="42">
        <f t="shared" si="31"/>
        <v>0</v>
      </c>
      <c r="L66" s="42">
        <f t="shared" si="31"/>
        <v>0</v>
      </c>
      <c r="M66" s="42">
        <f t="shared" si="31"/>
        <v>0</v>
      </c>
      <c r="N66" s="42">
        <f t="shared" si="31"/>
        <v>0</v>
      </c>
      <c r="O66" s="42">
        <f t="shared" si="31"/>
        <v>0</v>
      </c>
      <c r="P66" s="42">
        <f t="shared" si="31"/>
        <v>0</v>
      </c>
    </row>
    <row r="67" spans="2:16" ht="18" x14ac:dyDescent="0.4">
      <c r="B67" s="4"/>
    </row>
    <row r="68" spans="2:16" ht="18" x14ac:dyDescent="0.4">
      <c r="B68" s="4" t="s">
        <v>64</v>
      </c>
      <c r="D68" s="42">
        <f t="shared" ref="D68:P68" si="32">+D58+D66</f>
        <v>777652.41666666663</v>
      </c>
      <c r="E68" s="42">
        <f t="shared" si="32"/>
        <v>233167.08333333323</v>
      </c>
      <c r="F68" s="42">
        <f t="shared" si="32"/>
        <v>208167.08333333323</v>
      </c>
      <c r="G68" s="42">
        <f t="shared" si="32"/>
        <v>234083.74999999988</v>
      </c>
      <c r="H68" s="42">
        <f t="shared" si="32"/>
        <v>222042.08333333323</v>
      </c>
      <c r="I68" s="42">
        <f t="shared" si="32"/>
        <v>235458.74999999988</v>
      </c>
      <c r="J68" s="42">
        <f t="shared" si="32"/>
        <v>223417.08333333323</v>
      </c>
      <c r="K68" s="42">
        <f t="shared" si="32"/>
        <v>236833.74999999988</v>
      </c>
      <c r="L68" s="42">
        <f t="shared" si="32"/>
        <v>211833.74999999988</v>
      </c>
      <c r="M68" s="42">
        <f t="shared" si="32"/>
        <v>250708.74999999988</v>
      </c>
      <c r="N68" s="42">
        <f t="shared" si="32"/>
        <v>226167.08333333323</v>
      </c>
      <c r="O68" s="42">
        <f t="shared" si="32"/>
        <v>239583.74999999988</v>
      </c>
      <c r="P68" s="42">
        <f t="shared" si="32"/>
        <v>3299115.3333333321</v>
      </c>
    </row>
    <row r="69" spans="2:16" ht="17.5" x14ac:dyDescent="0.35">
      <c r="B69" s="14" t="s">
        <v>65</v>
      </c>
      <c r="D69" s="43">
        <f>D68/Revenue!D27</f>
        <v>0.1480396757408465</v>
      </c>
      <c r="E69" s="43">
        <f>E68/Revenue!E27</f>
        <v>4.3094576253852761E-2</v>
      </c>
      <c r="F69" s="43">
        <f>F68/Revenue!F27</f>
        <v>3.7353405894975301E-2</v>
      </c>
      <c r="G69" s="43">
        <f>G68/Revenue!G27</f>
        <v>4.0780466667163541E-2</v>
      </c>
      <c r="H69" s="43">
        <f>H68/Revenue!H27</f>
        <v>3.7555970899273289E-2</v>
      </c>
      <c r="I69" s="43">
        <f>I68/Revenue!I27</f>
        <v>3.8665293377139656E-2</v>
      </c>
      <c r="J69" s="43">
        <f>J68/Revenue!J27</f>
        <v>3.5619320381847827E-2</v>
      </c>
      <c r="K69" s="43">
        <f>K68/Revenue!K27</f>
        <v>3.6658578283764308E-2</v>
      </c>
      <c r="L69" s="43">
        <f>L68/Revenue!L27</f>
        <v>3.1833907936293468E-2</v>
      </c>
      <c r="M69" s="43">
        <f>M68/Revenue!M27</f>
        <v>3.6578599075757688E-2</v>
      </c>
      <c r="N69" s="43">
        <f>N68/Revenue!N27</f>
        <v>3.2036845699271607E-2</v>
      </c>
      <c r="O69" s="43">
        <f>O68/Revenue!O27</f>
        <v>3.294886703356531E-2</v>
      </c>
      <c r="P69" s="43">
        <f>P68/Revenue!P27</f>
        <v>4.4253292709403411E-2</v>
      </c>
    </row>
  </sheetData>
  <mergeCells count="3">
    <mergeCell ref="B2:P2"/>
    <mergeCell ref="B3:P3"/>
    <mergeCell ref="B22:P22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59D57-28C4-4C3F-B3AF-72E34B815F60}">
  <dimension ref="B1:P52"/>
  <sheetViews>
    <sheetView showGridLines="0" zoomScaleNormal="100" workbookViewId="0">
      <pane ySplit="2" topLeftCell="A3" activePane="bottomLeft" state="frozen"/>
      <selection pane="bottomLeft" activeCell="D4" sqref="D4"/>
    </sheetView>
  </sheetViews>
  <sheetFormatPr defaultColWidth="10.81640625" defaultRowHeight="14.5" outlineLevelRow="1" x14ac:dyDescent="0.35"/>
  <cols>
    <col min="1" max="1" width="3" customWidth="1"/>
    <col min="2" max="2" width="52.453125" customWidth="1"/>
    <col min="3" max="16" width="16.6328125" customWidth="1"/>
  </cols>
  <sheetData>
    <row r="1" spans="2:16" ht="5" customHeight="1" x14ac:dyDescent="0.35"/>
    <row r="2" spans="2:16" ht="25" customHeight="1" x14ac:dyDescent="0.35">
      <c r="B2" s="75" t="s">
        <v>114</v>
      </c>
      <c r="C2" s="76"/>
      <c r="D2" s="76"/>
      <c r="E2" s="76"/>
      <c r="F2" s="76"/>
      <c r="G2" s="76"/>
      <c r="H2" s="76"/>
      <c r="I2" s="77"/>
      <c r="J2" s="77"/>
      <c r="K2" s="77"/>
      <c r="L2" s="77"/>
      <c r="M2" s="77"/>
      <c r="N2" s="77"/>
      <c r="O2" s="77"/>
      <c r="P2" s="77"/>
    </row>
    <row r="3" spans="2:16" ht="25" customHeight="1" x14ac:dyDescent="0.35">
      <c r="B3" s="78" t="s">
        <v>83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2:16" ht="17.5" customHeight="1" x14ac:dyDescent="0.4">
      <c r="B4" s="4" t="s">
        <v>92</v>
      </c>
      <c r="C4" s="21" t="s">
        <v>70</v>
      </c>
      <c r="D4" s="21">
        <f>Revenue!D12</f>
        <v>45292</v>
      </c>
      <c r="E4" s="21">
        <f>Revenue!E12</f>
        <v>45323</v>
      </c>
      <c r="F4" s="21">
        <f>Revenue!F12</f>
        <v>45354</v>
      </c>
      <c r="G4" s="21">
        <f>Revenue!G12</f>
        <v>45385</v>
      </c>
      <c r="H4" s="21">
        <f>Revenue!H12</f>
        <v>45416</v>
      </c>
      <c r="I4" s="21">
        <f>Revenue!I12</f>
        <v>45447</v>
      </c>
      <c r="J4" s="21">
        <f>Revenue!J12</f>
        <v>45478</v>
      </c>
      <c r="K4" s="21">
        <f>Revenue!K12</f>
        <v>45509</v>
      </c>
      <c r="L4" s="21">
        <f>Revenue!L12</f>
        <v>45540</v>
      </c>
      <c r="M4" s="21">
        <f>Revenue!M12</f>
        <v>45571</v>
      </c>
      <c r="N4" s="21">
        <f>Revenue!N12</f>
        <v>45602</v>
      </c>
      <c r="O4" s="21">
        <f>Revenue!O12</f>
        <v>45633</v>
      </c>
      <c r="P4" s="21" t="s">
        <v>25</v>
      </c>
    </row>
    <row r="5" spans="2:16" ht="17.5" customHeight="1" x14ac:dyDescent="0.35">
      <c r="B5" s="3" t="s">
        <v>11</v>
      </c>
      <c r="C5" s="23">
        <f>Sales!C$6+Sales!C$7+Sales!C$5+Sales!C$8</f>
        <v>47</v>
      </c>
      <c r="D5" s="23">
        <f>Sales!D$6+Sales!D$7+Sales!D$5+Sales!D$8</f>
        <v>47</v>
      </c>
      <c r="E5" s="23">
        <f>Sales!E$6+Sales!E$7+Sales!E$5+Sales!E$8</f>
        <v>49</v>
      </c>
      <c r="F5" s="23">
        <f>Sales!F$6+Sales!F$7+Sales!F$5+Sales!F$8</f>
        <v>49</v>
      </c>
      <c r="G5" s="23">
        <f>Sales!G$6+Sales!G$7+Sales!G$5+Sales!G$8</f>
        <v>51</v>
      </c>
      <c r="H5" s="23">
        <f>Sales!H$6+Sales!H$7+Sales!H$5+Sales!H$8</f>
        <v>51</v>
      </c>
      <c r="I5" s="23">
        <f>Sales!I$6+Sales!I$7+Sales!I$5+Sales!I$8</f>
        <v>53</v>
      </c>
      <c r="J5" s="23">
        <f>Sales!J$6+Sales!J$7+Sales!J$5+Sales!J$8</f>
        <v>53</v>
      </c>
      <c r="K5" s="23">
        <f>Sales!K$6+Sales!K$7+Sales!K$5+Sales!K$8</f>
        <v>55</v>
      </c>
      <c r="L5" s="23">
        <f>Sales!L$6+Sales!L$7+Sales!L$5+Sales!L$8</f>
        <v>55</v>
      </c>
      <c r="M5" s="23">
        <f>Sales!M$6+Sales!M$7+Sales!M$5+Sales!M$8</f>
        <v>57</v>
      </c>
      <c r="N5" s="23">
        <f>Sales!N$6+Sales!N$7+Sales!N$5+Sales!N$8</f>
        <v>57</v>
      </c>
      <c r="O5" s="23">
        <f>Sales!O$6+Sales!O$7+Sales!O$5+Sales!O$8</f>
        <v>59</v>
      </c>
      <c r="P5" s="23">
        <f>O5-C5</f>
        <v>12</v>
      </c>
    </row>
    <row r="6" spans="2:16" ht="17.5" customHeight="1" x14ac:dyDescent="0.35">
      <c r="B6" s="3" t="s">
        <v>45</v>
      </c>
      <c r="C6" s="23">
        <f>Marketing!C$11</f>
        <v>82</v>
      </c>
      <c r="D6" s="23">
        <f>Marketing!D$11</f>
        <v>82</v>
      </c>
      <c r="E6" s="23">
        <f>Marketing!E$11</f>
        <v>82</v>
      </c>
      <c r="F6" s="23">
        <f>Marketing!F$11</f>
        <v>82</v>
      </c>
      <c r="G6" s="23">
        <f>Marketing!G$11</f>
        <v>82</v>
      </c>
      <c r="H6" s="23">
        <f>Marketing!H$11</f>
        <v>82</v>
      </c>
      <c r="I6" s="23">
        <f>Marketing!I$11</f>
        <v>82</v>
      </c>
      <c r="J6" s="23">
        <f>Marketing!J$11</f>
        <v>82</v>
      </c>
      <c r="K6" s="23">
        <f>Marketing!K$11</f>
        <v>82</v>
      </c>
      <c r="L6" s="23">
        <f>Marketing!L$11</f>
        <v>82</v>
      </c>
      <c r="M6" s="23">
        <f>Marketing!M$11</f>
        <v>82</v>
      </c>
      <c r="N6" s="23">
        <f>Marketing!N$11</f>
        <v>82</v>
      </c>
      <c r="O6" s="23">
        <f>Marketing!O$11</f>
        <v>82</v>
      </c>
      <c r="P6" s="23">
        <f t="shared" ref="P6:P8" si="0">O6-C6</f>
        <v>0</v>
      </c>
    </row>
    <row r="7" spans="2:16" ht="17.5" customHeight="1" x14ac:dyDescent="0.35">
      <c r="B7" s="3" t="s">
        <v>69</v>
      </c>
      <c r="C7" s="23">
        <f>HR!C10</f>
        <v>22</v>
      </c>
      <c r="D7" s="23">
        <f>HR!D10</f>
        <v>22</v>
      </c>
      <c r="E7" s="23">
        <f>HR!E10</f>
        <v>22</v>
      </c>
      <c r="F7" s="23">
        <f>HR!F10</f>
        <v>22</v>
      </c>
      <c r="G7" s="23">
        <f>HR!G10</f>
        <v>22</v>
      </c>
      <c r="H7" s="23">
        <f>HR!H10</f>
        <v>22</v>
      </c>
      <c r="I7" s="23">
        <f>HR!I10</f>
        <v>22</v>
      </c>
      <c r="J7" s="23">
        <f>HR!J10</f>
        <v>22</v>
      </c>
      <c r="K7" s="23">
        <f>HR!K10</f>
        <v>22</v>
      </c>
      <c r="L7" s="23">
        <f>HR!L10</f>
        <v>22</v>
      </c>
      <c r="M7" s="23">
        <f>HR!M10</f>
        <v>22</v>
      </c>
      <c r="N7" s="23">
        <f>HR!N10</f>
        <v>22</v>
      </c>
      <c r="O7" s="23">
        <f>HR!O10</f>
        <v>22</v>
      </c>
      <c r="P7" s="23">
        <f t="shared" si="0"/>
        <v>0</v>
      </c>
    </row>
    <row r="8" spans="2:16" ht="17.5" customHeight="1" x14ac:dyDescent="0.35">
      <c r="B8" s="3" t="s">
        <v>74</v>
      </c>
      <c r="C8" s="45">
        <f>IT!C11</f>
        <v>21</v>
      </c>
      <c r="D8" s="45">
        <f>IT!D11</f>
        <v>21</v>
      </c>
      <c r="E8" s="45">
        <f>IT!E11</f>
        <v>21</v>
      </c>
      <c r="F8" s="45">
        <f>IT!F11</f>
        <v>21</v>
      </c>
      <c r="G8" s="45">
        <f>IT!G11</f>
        <v>21</v>
      </c>
      <c r="H8" s="45">
        <f>IT!H11</f>
        <v>22</v>
      </c>
      <c r="I8" s="45">
        <f>IT!I11</f>
        <v>22</v>
      </c>
      <c r="J8" s="45">
        <f>IT!J11</f>
        <v>23</v>
      </c>
      <c r="K8" s="45">
        <f>IT!K11</f>
        <v>23</v>
      </c>
      <c r="L8" s="45">
        <f>IT!L11</f>
        <v>23</v>
      </c>
      <c r="M8" s="45">
        <f>IT!M11</f>
        <v>24</v>
      </c>
      <c r="N8" s="45">
        <f>IT!N11</f>
        <v>25</v>
      </c>
      <c r="O8" s="45">
        <f>IT!O11</f>
        <v>25</v>
      </c>
      <c r="P8" s="45">
        <f t="shared" si="0"/>
        <v>4</v>
      </c>
    </row>
    <row r="9" spans="2:16" ht="17.5" customHeight="1" x14ac:dyDescent="0.4">
      <c r="B9" s="4" t="s">
        <v>144</v>
      </c>
      <c r="C9" s="25">
        <f t="shared" ref="C9:O9" si="1">SUM(C5:C8)</f>
        <v>172</v>
      </c>
      <c r="D9" s="25">
        <f t="shared" si="1"/>
        <v>172</v>
      </c>
      <c r="E9" s="25">
        <f t="shared" si="1"/>
        <v>174</v>
      </c>
      <c r="F9" s="25">
        <f t="shared" si="1"/>
        <v>174</v>
      </c>
      <c r="G9" s="25">
        <f t="shared" si="1"/>
        <v>176</v>
      </c>
      <c r="H9" s="25">
        <f t="shared" si="1"/>
        <v>177</v>
      </c>
      <c r="I9" s="25">
        <f t="shared" si="1"/>
        <v>179</v>
      </c>
      <c r="J9" s="25">
        <f t="shared" si="1"/>
        <v>180</v>
      </c>
      <c r="K9" s="25">
        <f t="shared" si="1"/>
        <v>182</v>
      </c>
      <c r="L9" s="25">
        <f t="shared" si="1"/>
        <v>182</v>
      </c>
      <c r="M9" s="25">
        <f t="shared" si="1"/>
        <v>185</v>
      </c>
      <c r="N9" s="25">
        <f t="shared" si="1"/>
        <v>186</v>
      </c>
      <c r="O9" s="25">
        <f t="shared" si="1"/>
        <v>188</v>
      </c>
      <c r="P9" s="25">
        <f>O9-C9</f>
        <v>16</v>
      </c>
    </row>
    <row r="10" spans="2:16" ht="17.5" customHeight="1" x14ac:dyDescent="0.4">
      <c r="B10" s="3" t="s">
        <v>24</v>
      </c>
      <c r="C10" s="30"/>
      <c r="D10" s="66">
        <f t="shared" ref="D10:O10" si="2">+D9-C9</f>
        <v>0</v>
      </c>
      <c r="E10" s="66">
        <f t="shared" si="2"/>
        <v>2</v>
      </c>
      <c r="F10" s="66">
        <f t="shared" si="2"/>
        <v>0</v>
      </c>
      <c r="G10" s="66">
        <f t="shared" si="2"/>
        <v>2</v>
      </c>
      <c r="H10" s="66">
        <f t="shared" si="2"/>
        <v>1</v>
      </c>
      <c r="I10" s="66">
        <f t="shared" si="2"/>
        <v>2</v>
      </c>
      <c r="J10" s="66">
        <f t="shared" si="2"/>
        <v>1</v>
      </c>
      <c r="K10" s="66">
        <f t="shared" si="2"/>
        <v>2</v>
      </c>
      <c r="L10" s="66">
        <f t="shared" si="2"/>
        <v>0</v>
      </c>
      <c r="M10" s="66">
        <f t="shared" si="2"/>
        <v>3</v>
      </c>
      <c r="N10" s="66">
        <f t="shared" si="2"/>
        <v>1</v>
      </c>
      <c r="O10" s="66">
        <f t="shared" si="2"/>
        <v>2</v>
      </c>
      <c r="P10" s="10"/>
    </row>
    <row r="11" spans="2:16" ht="17.5" customHeight="1" x14ac:dyDescent="0.4">
      <c r="B11" s="3"/>
      <c r="C11" s="30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10"/>
    </row>
    <row r="12" spans="2:16" ht="17.5" customHeight="1" x14ac:dyDescent="0.35">
      <c r="B12" s="78" t="s">
        <v>91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2:16" ht="17.5" customHeight="1" x14ac:dyDescent="0.4">
      <c r="B13" s="4" t="s">
        <v>90</v>
      </c>
      <c r="C13" s="21" t="str">
        <f t="shared" ref="C13:P13" si="3">+C4</f>
        <v>Starting</v>
      </c>
      <c r="D13" s="21">
        <f t="shared" si="3"/>
        <v>45292</v>
      </c>
      <c r="E13" s="21">
        <f t="shared" si="3"/>
        <v>45323</v>
      </c>
      <c r="F13" s="21">
        <f t="shared" si="3"/>
        <v>45354</v>
      </c>
      <c r="G13" s="21">
        <f t="shared" si="3"/>
        <v>45385</v>
      </c>
      <c r="H13" s="21">
        <f t="shared" si="3"/>
        <v>45416</v>
      </c>
      <c r="I13" s="21">
        <f t="shared" si="3"/>
        <v>45447</v>
      </c>
      <c r="J13" s="21">
        <f t="shared" si="3"/>
        <v>45478</v>
      </c>
      <c r="K13" s="21">
        <f t="shared" si="3"/>
        <v>45509</v>
      </c>
      <c r="L13" s="21">
        <f t="shared" si="3"/>
        <v>45540</v>
      </c>
      <c r="M13" s="21">
        <f t="shared" si="3"/>
        <v>45571</v>
      </c>
      <c r="N13" s="21">
        <f t="shared" si="3"/>
        <v>45602</v>
      </c>
      <c r="O13" s="21">
        <f t="shared" si="3"/>
        <v>45633</v>
      </c>
      <c r="P13" s="21" t="str">
        <f t="shared" si="3"/>
        <v>Change</v>
      </c>
    </row>
    <row r="14" spans="2:16" ht="17.5" customHeight="1" x14ac:dyDescent="0.35">
      <c r="B14" s="3" t="s">
        <v>84</v>
      </c>
      <c r="C14" s="23">
        <f>Sales!C6</f>
        <v>21</v>
      </c>
      <c r="D14" s="23">
        <f>Sales!D6</f>
        <v>21</v>
      </c>
      <c r="E14" s="23">
        <f>Sales!E6</f>
        <v>22</v>
      </c>
      <c r="F14" s="23">
        <f>Sales!F6</f>
        <v>22</v>
      </c>
      <c r="G14" s="23">
        <f>Sales!G6</f>
        <v>23</v>
      </c>
      <c r="H14" s="23">
        <f>Sales!H6</f>
        <v>23</v>
      </c>
      <c r="I14" s="23">
        <f>Sales!I6</f>
        <v>24</v>
      </c>
      <c r="J14" s="23">
        <f>Sales!J6</f>
        <v>24</v>
      </c>
      <c r="K14" s="23">
        <f>Sales!K6</f>
        <v>25</v>
      </c>
      <c r="L14" s="23">
        <f>Sales!L6</f>
        <v>25</v>
      </c>
      <c r="M14" s="23">
        <f>Sales!M6</f>
        <v>26</v>
      </c>
      <c r="N14" s="23">
        <f>Sales!N6</f>
        <v>26</v>
      </c>
      <c r="O14" s="23">
        <f>Sales!O6</f>
        <v>27</v>
      </c>
      <c r="P14" s="23">
        <f t="shared" ref="P14:P21" si="4">O14-C14</f>
        <v>6</v>
      </c>
    </row>
    <row r="15" spans="2:16" ht="17.5" customHeight="1" x14ac:dyDescent="0.35">
      <c r="B15" s="3" t="s">
        <v>85</v>
      </c>
      <c r="C15" s="23">
        <f>Sales!C7</f>
        <v>22</v>
      </c>
      <c r="D15" s="23">
        <f>Sales!D7</f>
        <v>22</v>
      </c>
      <c r="E15" s="23">
        <f>Sales!E7</f>
        <v>23</v>
      </c>
      <c r="F15" s="23">
        <f>Sales!F7</f>
        <v>23</v>
      </c>
      <c r="G15" s="23">
        <f>Sales!G7</f>
        <v>24</v>
      </c>
      <c r="H15" s="23">
        <f>Sales!H7</f>
        <v>24</v>
      </c>
      <c r="I15" s="23">
        <f>Sales!I7</f>
        <v>25</v>
      </c>
      <c r="J15" s="23">
        <f>Sales!J7</f>
        <v>25</v>
      </c>
      <c r="K15" s="23">
        <f>Sales!K7</f>
        <v>26</v>
      </c>
      <c r="L15" s="23">
        <f>Sales!L7</f>
        <v>26</v>
      </c>
      <c r="M15" s="23">
        <f>Sales!M7</f>
        <v>27</v>
      </c>
      <c r="N15" s="23">
        <f>Sales!N7</f>
        <v>27</v>
      </c>
      <c r="O15" s="23">
        <f>Sales!O7</f>
        <v>28</v>
      </c>
      <c r="P15" s="23">
        <f t="shared" si="4"/>
        <v>6</v>
      </c>
    </row>
    <row r="16" spans="2:16" ht="17.5" customHeight="1" x14ac:dyDescent="0.35">
      <c r="B16" s="3" t="str">
        <f>Marketing!B15</f>
        <v>Vice-President</v>
      </c>
      <c r="C16" s="23">
        <f>Marketing!C5+HR!C5+IT!C5+Sales!C5</f>
        <v>8</v>
      </c>
      <c r="D16" s="23">
        <f>Marketing!D5+HR!D5+IT!D5+Sales!D5</f>
        <v>8</v>
      </c>
      <c r="E16" s="23">
        <f>Marketing!E5+HR!E5+IT!E5+Sales!E5</f>
        <v>8</v>
      </c>
      <c r="F16" s="23">
        <f>Marketing!F5+HR!F5+IT!F5+Sales!F5</f>
        <v>8</v>
      </c>
      <c r="G16" s="23">
        <f>Marketing!G5+HR!G5+IT!G5+Sales!G5</f>
        <v>8</v>
      </c>
      <c r="H16" s="23">
        <f>Marketing!H5+HR!H5+IT!H5+Sales!H5</f>
        <v>8</v>
      </c>
      <c r="I16" s="23">
        <f>Marketing!I5+HR!I5+IT!I5+Sales!I5</f>
        <v>8</v>
      </c>
      <c r="J16" s="23">
        <f>Marketing!J5+HR!J5+IT!J5+Sales!J5</f>
        <v>8</v>
      </c>
      <c r="K16" s="23">
        <f>Marketing!K5+HR!K5+IT!K5+Sales!K5</f>
        <v>8</v>
      </c>
      <c r="L16" s="23">
        <f>Marketing!L5+HR!L5+IT!L5+Sales!L5</f>
        <v>8</v>
      </c>
      <c r="M16" s="23">
        <f>Marketing!M5+HR!M5+IT!M5+Sales!M5</f>
        <v>8</v>
      </c>
      <c r="N16" s="23">
        <f>Marketing!N5+HR!N5+IT!N5+Sales!N5</f>
        <v>8</v>
      </c>
      <c r="O16" s="23">
        <f>Marketing!O5+HR!O5+IT!O5+Sales!O5</f>
        <v>8</v>
      </c>
      <c r="P16" s="23">
        <f t="shared" si="4"/>
        <v>0</v>
      </c>
    </row>
    <row r="17" spans="2:16" ht="17.5" customHeight="1" x14ac:dyDescent="0.35">
      <c r="B17" s="3" t="str">
        <f>Marketing!B16</f>
        <v>Manager</v>
      </c>
      <c r="C17" s="23">
        <f>Marketing!C6+HR!C6+IT!C6</f>
        <v>25</v>
      </c>
      <c r="D17" s="23">
        <f>Marketing!D6+HR!D6+IT!D6</f>
        <v>25</v>
      </c>
      <c r="E17" s="23">
        <f>Marketing!E6+HR!E6+IT!E6</f>
        <v>25</v>
      </c>
      <c r="F17" s="23">
        <f>Marketing!F6+HR!F6+IT!F6</f>
        <v>25</v>
      </c>
      <c r="G17" s="23">
        <f>Marketing!G6+HR!G6+IT!G6</f>
        <v>25</v>
      </c>
      <c r="H17" s="23">
        <f>Marketing!H6+HR!H6+IT!H6</f>
        <v>25</v>
      </c>
      <c r="I17" s="23">
        <f>Marketing!I6+HR!I6+IT!I6</f>
        <v>25</v>
      </c>
      <c r="J17" s="23">
        <f>Marketing!J6+HR!J6+IT!J6</f>
        <v>25</v>
      </c>
      <c r="K17" s="23">
        <f>Marketing!K6+HR!K6+IT!K6</f>
        <v>25</v>
      </c>
      <c r="L17" s="23">
        <f>Marketing!L6+HR!L6+IT!L6</f>
        <v>25</v>
      </c>
      <c r="M17" s="23">
        <f>Marketing!M6+HR!M6+IT!M6</f>
        <v>25</v>
      </c>
      <c r="N17" s="23">
        <f>Marketing!N6+HR!N6+IT!N6</f>
        <v>26</v>
      </c>
      <c r="O17" s="23">
        <f>Marketing!O6+HR!O6+IT!O6</f>
        <v>26</v>
      </c>
      <c r="P17" s="23">
        <f t="shared" si="4"/>
        <v>1</v>
      </c>
    </row>
    <row r="18" spans="2:16" ht="17.5" customHeight="1" x14ac:dyDescent="0.35">
      <c r="B18" s="3" t="str">
        <f>Marketing!B17</f>
        <v>Supervisor</v>
      </c>
      <c r="C18" s="23">
        <f>Marketing!C7+HR!C7+IT!C7</f>
        <v>31</v>
      </c>
      <c r="D18" s="23">
        <f>Marketing!D7+HR!D7+IT!D7</f>
        <v>31</v>
      </c>
      <c r="E18" s="23">
        <f>Marketing!E7+HR!E7+IT!E7</f>
        <v>31</v>
      </c>
      <c r="F18" s="23">
        <f>Marketing!F7+HR!F7+IT!F7</f>
        <v>31</v>
      </c>
      <c r="G18" s="23">
        <f>Marketing!G7+HR!G7+IT!G7</f>
        <v>31</v>
      </c>
      <c r="H18" s="23">
        <f>Marketing!H7+HR!H7+IT!H7</f>
        <v>32</v>
      </c>
      <c r="I18" s="23">
        <f>Marketing!I7+HR!I7+IT!I7</f>
        <v>32</v>
      </c>
      <c r="J18" s="23">
        <f>Marketing!J7+HR!J7+IT!J7</f>
        <v>32</v>
      </c>
      <c r="K18" s="23">
        <f>Marketing!K7+HR!K7+IT!K7</f>
        <v>32</v>
      </c>
      <c r="L18" s="23">
        <f>Marketing!L7+HR!L7+IT!L7</f>
        <v>32</v>
      </c>
      <c r="M18" s="23">
        <f>Marketing!M7+HR!M7+IT!M7</f>
        <v>33</v>
      </c>
      <c r="N18" s="23">
        <f>Marketing!N7+HR!N7+IT!N7</f>
        <v>33</v>
      </c>
      <c r="O18" s="23">
        <f>Marketing!O7+HR!O7+IT!O7</f>
        <v>33</v>
      </c>
      <c r="P18" s="23">
        <f t="shared" si="4"/>
        <v>2</v>
      </c>
    </row>
    <row r="19" spans="2:16" ht="17.5" customHeight="1" x14ac:dyDescent="0.35">
      <c r="B19" s="3" t="str">
        <f>Marketing!B18</f>
        <v>Analyst</v>
      </c>
      <c r="C19" s="23">
        <f>Marketing!C8+HR!C8+IT!C8</f>
        <v>44</v>
      </c>
      <c r="D19" s="23">
        <f>Marketing!D8+HR!D8+IT!D8</f>
        <v>44</v>
      </c>
      <c r="E19" s="23">
        <f>Marketing!E8+HR!E8+IT!E8</f>
        <v>44</v>
      </c>
      <c r="F19" s="23">
        <f>Marketing!F8+HR!F8+IT!F8</f>
        <v>44</v>
      </c>
      <c r="G19" s="23">
        <f>Marketing!G8+HR!G8+IT!G8</f>
        <v>44</v>
      </c>
      <c r="H19" s="23">
        <f>Marketing!H8+HR!H8+IT!H8</f>
        <v>44</v>
      </c>
      <c r="I19" s="23">
        <f>Marketing!I8+HR!I8+IT!I8</f>
        <v>44</v>
      </c>
      <c r="J19" s="23">
        <f>Marketing!J8+HR!J8+IT!J8</f>
        <v>45</v>
      </c>
      <c r="K19" s="23">
        <f>Marketing!K8+HR!K8+IT!K8</f>
        <v>45</v>
      </c>
      <c r="L19" s="23">
        <f>Marketing!L8+HR!L8+IT!L8</f>
        <v>45</v>
      </c>
      <c r="M19" s="23">
        <f>Marketing!M8+HR!M8+IT!M8</f>
        <v>45</v>
      </c>
      <c r="N19" s="23">
        <f>Marketing!N8+HR!N8+IT!N8</f>
        <v>45</v>
      </c>
      <c r="O19" s="23">
        <f>Marketing!O8+HR!O8+IT!O8</f>
        <v>45</v>
      </c>
      <c r="P19" s="23">
        <f t="shared" si="4"/>
        <v>1</v>
      </c>
    </row>
    <row r="20" spans="2:16" ht="17.5" customHeight="1" x14ac:dyDescent="0.35">
      <c r="B20" s="3" t="str">
        <f>Marketing!B19</f>
        <v>Admin. / Support</v>
      </c>
      <c r="C20" s="23">
        <f>Marketing!C9+HR!C9+IT!C9+Sales!C8</f>
        <v>14</v>
      </c>
      <c r="D20" s="23">
        <f>Marketing!D9+HR!D9+IT!D9+Sales!D8</f>
        <v>14</v>
      </c>
      <c r="E20" s="23">
        <f>Marketing!E9+HR!E9+IT!E9+Sales!E8</f>
        <v>14</v>
      </c>
      <c r="F20" s="23">
        <f>Marketing!F9+HR!F9+IT!F9+Sales!F8</f>
        <v>14</v>
      </c>
      <c r="G20" s="23">
        <f>Marketing!G9+HR!G9+IT!G9+Sales!G8</f>
        <v>14</v>
      </c>
      <c r="H20" s="23">
        <f>Marketing!H9+HR!H9+IT!H9+Sales!H8</f>
        <v>14</v>
      </c>
      <c r="I20" s="23">
        <f>Marketing!I9+HR!I9+IT!I9+Sales!I8</f>
        <v>14</v>
      </c>
      <c r="J20" s="23">
        <f>Marketing!J9+HR!J9+IT!J9+Sales!J8</f>
        <v>14</v>
      </c>
      <c r="K20" s="23">
        <f>Marketing!K9+HR!K9+IT!K9+Sales!K8</f>
        <v>14</v>
      </c>
      <c r="L20" s="23">
        <f>Marketing!L9+HR!L9+IT!L9+Sales!L8</f>
        <v>14</v>
      </c>
      <c r="M20" s="23">
        <f>Marketing!M9+HR!M9+IT!M9+Sales!M8</f>
        <v>14</v>
      </c>
      <c r="N20" s="23">
        <f>Marketing!N9+HR!N9+IT!N9+Sales!N8</f>
        <v>14</v>
      </c>
      <c r="O20" s="23">
        <f>Marketing!O9+HR!O9+IT!O9+Sales!O8</f>
        <v>14</v>
      </c>
      <c r="P20" s="23">
        <f t="shared" si="4"/>
        <v>0</v>
      </c>
    </row>
    <row r="21" spans="2:16" ht="17.5" customHeight="1" x14ac:dyDescent="0.35">
      <c r="B21" s="3" t="str">
        <f>Marketing!B20</f>
        <v>Outside Contractors</v>
      </c>
      <c r="C21" s="24">
        <f>Marketing!C10+IT!C10</f>
        <v>7</v>
      </c>
      <c r="D21" s="24">
        <f>Marketing!D10+IT!D10</f>
        <v>7</v>
      </c>
      <c r="E21" s="24">
        <f>Marketing!E10+IT!E10</f>
        <v>7</v>
      </c>
      <c r="F21" s="24">
        <f>Marketing!F10+IT!F10</f>
        <v>7</v>
      </c>
      <c r="G21" s="24">
        <f>Marketing!G10+IT!G10</f>
        <v>7</v>
      </c>
      <c r="H21" s="24">
        <f>Marketing!H10+IT!H10</f>
        <v>7</v>
      </c>
      <c r="I21" s="24">
        <f>Marketing!I10+IT!I10</f>
        <v>7</v>
      </c>
      <c r="J21" s="24">
        <f>Marketing!J10+IT!J10</f>
        <v>7</v>
      </c>
      <c r="K21" s="24">
        <f>Marketing!K10+IT!K10</f>
        <v>7</v>
      </c>
      <c r="L21" s="24">
        <f>Marketing!L10+IT!L10</f>
        <v>7</v>
      </c>
      <c r="M21" s="24">
        <f>Marketing!M10+IT!M10</f>
        <v>7</v>
      </c>
      <c r="N21" s="24">
        <f>Marketing!N10+IT!N10</f>
        <v>7</v>
      </c>
      <c r="O21" s="24">
        <f>Marketing!O10+IT!O10</f>
        <v>7</v>
      </c>
      <c r="P21" s="24">
        <f t="shared" si="4"/>
        <v>0</v>
      </c>
    </row>
    <row r="22" spans="2:16" ht="17.5" customHeight="1" x14ac:dyDescent="0.4">
      <c r="B22" s="4" t="s">
        <v>133</v>
      </c>
      <c r="C22" s="25">
        <f>SUM(C14:C21)</f>
        <v>172</v>
      </c>
      <c r="D22" s="25">
        <f>SUM(D14:D21)</f>
        <v>172</v>
      </c>
      <c r="E22" s="25">
        <f t="shared" ref="E22:P22" si="5">SUM(E14:E21)</f>
        <v>174</v>
      </c>
      <c r="F22" s="25">
        <f t="shared" si="5"/>
        <v>174</v>
      </c>
      <c r="G22" s="25">
        <f t="shared" si="5"/>
        <v>176</v>
      </c>
      <c r="H22" s="25">
        <f t="shared" si="5"/>
        <v>177</v>
      </c>
      <c r="I22" s="25">
        <f t="shared" si="5"/>
        <v>179</v>
      </c>
      <c r="J22" s="25">
        <f t="shared" si="5"/>
        <v>180</v>
      </c>
      <c r="K22" s="25">
        <f t="shared" si="5"/>
        <v>182</v>
      </c>
      <c r="L22" s="25">
        <f t="shared" si="5"/>
        <v>182</v>
      </c>
      <c r="M22" s="25">
        <f t="shared" si="5"/>
        <v>185</v>
      </c>
      <c r="N22" s="25">
        <f t="shared" si="5"/>
        <v>186</v>
      </c>
      <c r="O22" s="25">
        <f t="shared" si="5"/>
        <v>188</v>
      </c>
      <c r="P22" s="25">
        <f t="shared" si="5"/>
        <v>16</v>
      </c>
    </row>
    <row r="23" spans="2:16" ht="17.5" customHeight="1" x14ac:dyDescent="0.4">
      <c r="B23" s="4" t="s">
        <v>140</v>
      </c>
      <c r="C23" s="25">
        <f>+C22-C21</f>
        <v>165</v>
      </c>
      <c r="D23" s="25">
        <f t="shared" ref="D23:P23" si="6">+D22-D21</f>
        <v>165</v>
      </c>
      <c r="E23" s="25">
        <f t="shared" si="6"/>
        <v>167</v>
      </c>
      <c r="F23" s="25">
        <f t="shared" si="6"/>
        <v>167</v>
      </c>
      <c r="G23" s="25">
        <f t="shared" si="6"/>
        <v>169</v>
      </c>
      <c r="H23" s="25">
        <f t="shared" si="6"/>
        <v>170</v>
      </c>
      <c r="I23" s="25">
        <f t="shared" si="6"/>
        <v>172</v>
      </c>
      <c r="J23" s="25">
        <f t="shared" si="6"/>
        <v>173</v>
      </c>
      <c r="K23" s="25">
        <f t="shared" si="6"/>
        <v>175</v>
      </c>
      <c r="L23" s="25">
        <f t="shared" si="6"/>
        <v>175</v>
      </c>
      <c r="M23" s="25">
        <f t="shared" si="6"/>
        <v>178</v>
      </c>
      <c r="N23" s="25">
        <f t="shared" si="6"/>
        <v>179</v>
      </c>
      <c r="O23" s="25">
        <f t="shared" si="6"/>
        <v>181</v>
      </c>
      <c r="P23" s="25">
        <f t="shared" si="6"/>
        <v>16</v>
      </c>
    </row>
    <row r="24" spans="2:16" ht="17.5" hidden="1" customHeight="1" outlineLevel="1" x14ac:dyDescent="0.35">
      <c r="B24" s="3" t="s">
        <v>145</v>
      </c>
      <c r="C24" s="23">
        <f t="shared" ref="C24:P24" si="7">+C22-C9</f>
        <v>0</v>
      </c>
      <c r="D24" s="23">
        <f t="shared" si="7"/>
        <v>0</v>
      </c>
      <c r="E24" s="23">
        <f t="shared" si="7"/>
        <v>0</v>
      </c>
      <c r="F24" s="23">
        <f t="shared" si="7"/>
        <v>0</v>
      </c>
      <c r="G24" s="23">
        <f t="shared" si="7"/>
        <v>0</v>
      </c>
      <c r="H24" s="23">
        <f t="shared" si="7"/>
        <v>0</v>
      </c>
      <c r="I24" s="23">
        <f t="shared" si="7"/>
        <v>0</v>
      </c>
      <c r="J24" s="23">
        <f t="shared" si="7"/>
        <v>0</v>
      </c>
      <c r="K24" s="23">
        <f t="shared" si="7"/>
        <v>0</v>
      </c>
      <c r="L24" s="23">
        <f t="shared" si="7"/>
        <v>0</v>
      </c>
      <c r="M24" s="23">
        <f t="shared" si="7"/>
        <v>0</v>
      </c>
      <c r="N24" s="23">
        <f t="shared" si="7"/>
        <v>0</v>
      </c>
      <c r="O24" s="23">
        <f t="shared" si="7"/>
        <v>0</v>
      </c>
      <c r="P24" s="23">
        <f t="shared" si="7"/>
        <v>0</v>
      </c>
    </row>
    <row r="25" spans="2:16" ht="17.5" customHeight="1" collapsed="1" x14ac:dyDescent="0.4">
      <c r="B25" s="4" t="s">
        <v>86</v>
      </c>
      <c r="P25" s="35"/>
    </row>
    <row r="26" spans="2:16" ht="17.5" customHeight="1" x14ac:dyDescent="0.35">
      <c r="B26" s="3" t="str">
        <f t="shared" ref="B26:B33" si="8">+B14</f>
        <v xml:space="preserve">Sales Reps </v>
      </c>
      <c r="D26" s="23">
        <f t="shared" ref="D26:D33" si="9">D14-C14</f>
        <v>0</v>
      </c>
      <c r="E26" s="23">
        <f t="shared" ref="E26:O26" si="10">E14-D14</f>
        <v>1</v>
      </c>
      <c r="F26" s="23">
        <f t="shared" si="10"/>
        <v>0</v>
      </c>
      <c r="G26" s="23">
        <f t="shared" si="10"/>
        <v>1</v>
      </c>
      <c r="H26" s="23">
        <f t="shared" si="10"/>
        <v>0</v>
      </c>
      <c r="I26" s="23">
        <f t="shared" si="10"/>
        <v>1</v>
      </c>
      <c r="J26" s="23">
        <f t="shared" si="10"/>
        <v>0</v>
      </c>
      <c r="K26" s="23">
        <f t="shared" si="10"/>
        <v>1</v>
      </c>
      <c r="L26" s="23">
        <f t="shared" si="10"/>
        <v>0</v>
      </c>
      <c r="M26" s="23">
        <f t="shared" si="10"/>
        <v>1</v>
      </c>
      <c r="N26" s="23">
        <f t="shared" si="10"/>
        <v>0</v>
      </c>
      <c r="O26" s="23">
        <f t="shared" si="10"/>
        <v>1</v>
      </c>
      <c r="P26" s="23">
        <f>SUM(D26:O26)</f>
        <v>6</v>
      </c>
    </row>
    <row r="27" spans="2:16" ht="17.5" customHeight="1" x14ac:dyDescent="0.35">
      <c r="B27" s="3" t="str">
        <f t="shared" si="8"/>
        <v xml:space="preserve">Account Reps </v>
      </c>
      <c r="D27" s="23">
        <f t="shared" si="9"/>
        <v>0</v>
      </c>
      <c r="E27" s="23">
        <f t="shared" ref="E27:O27" si="11">E15-D15</f>
        <v>1</v>
      </c>
      <c r="F27" s="23">
        <f t="shared" si="11"/>
        <v>0</v>
      </c>
      <c r="G27" s="23">
        <f t="shared" si="11"/>
        <v>1</v>
      </c>
      <c r="H27" s="23">
        <f t="shared" si="11"/>
        <v>0</v>
      </c>
      <c r="I27" s="23">
        <f t="shared" si="11"/>
        <v>1</v>
      </c>
      <c r="J27" s="23">
        <f t="shared" si="11"/>
        <v>0</v>
      </c>
      <c r="K27" s="23">
        <f t="shared" si="11"/>
        <v>1</v>
      </c>
      <c r="L27" s="23">
        <f t="shared" si="11"/>
        <v>0</v>
      </c>
      <c r="M27" s="23">
        <f t="shared" si="11"/>
        <v>1</v>
      </c>
      <c r="N27" s="23">
        <f t="shared" si="11"/>
        <v>0</v>
      </c>
      <c r="O27" s="23">
        <f t="shared" si="11"/>
        <v>1</v>
      </c>
      <c r="P27" s="23">
        <f t="shared" ref="P27:P33" si="12">SUM(D27:O27)</f>
        <v>6</v>
      </c>
    </row>
    <row r="28" spans="2:16" ht="17.5" customHeight="1" x14ac:dyDescent="0.35">
      <c r="B28" s="3" t="str">
        <f t="shared" si="8"/>
        <v>Vice-President</v>
      </c>
      <c r="D28" s="23">
        <f t="shared" si="9"/>
        <v>0</v>
      </c>
      <c r="E28" s="23">
        <f t="shared" ref="E28:O28" si="13">E16-D16</f>
        <v>0</v>
      </c>
      <c r="F28" s="23">
        <f t="shared" si="13"/>
        <v>0</v>
      </c>
      <c r="G28" s="23">
        <f t="shared" si="13"/>
        <v>0</v>
      </c>
      <c r="H28" s="23">
        <f t="shared" si="13"/>
        <v>0</v>
      </c>
      <c r="I28" s="23">
        <f t="shared" si="13"/>
        <v>0</v>
      </c>
      <c r="J28" s="23">
        <f t="shared" si="13"/>
        <v>0</v>
      </c>
      <c r="K28" s="23">
        <f t="shared" si="13"/>
        <v>0</v>
      </c>
      <c r="L28" s="23">
        <f t="shared" si="13"/>
        <v>0</v>
      </c>
      <c r="M28" s="23">
        <f t="shared" si="13"/>
        <v>0</v>
      </c>
      <c r="N28" s="23">
        <f t="shared" si="13"/>
        <v>0</v>
      </c>
      <c r="O28" s="23">
        <f t="shared" si="13"/>
        <v>0</v>
      </c>
      <c r="P28" s="23">
        <f t="shared" si="12"/>
        <v>0</v>
      </c>
    </row>
    <row r="29" spans="2:16" ht="17.5" customHeight="1" x14ac:dyDescent="0.35">
      <c r="B29" s="3" t="str">
        <f t="shared" si="8"/>
        <v>Manager</v>
      </c>
      <c r="D29" s="23">
        <f t="shared" si="9"/>
        <v>0</v>
      </c>
      <c r="E29" s="23">
        <f t="shared" ref="E29:O29" si="14">E17-D17</f>
        <v>0</v>
      </c>
      <c r="F29" s="23">
        <f t="shared" si="14"/>
        <v>0</v>
      </c>
      <c r="G29" s="23">
        <f t="shared" si="14"/>
        <v>0</v>
      </c>
      <c r="H29" s="23">
        <f t="shared" si="14"/>
        <v>0</v>
      </c>
      <c r="I29" s="23">
        <f t="shared" si="14"/>
        <v>0</v>
      </c>
      <c r="J29" s="23">
        <f t="shared" si="14"/>
        <v>0</v>
      </c>
      <c r="K29" s="23">
        <f t="shared" si="14"/>
        <v>0</v>
      </c>
      <c r="L29" s="23">
        <f t="shared" si="14"/>
        <v>0</v>
      </c>
      <c r="M29" s="23">
        <f t="shared" si="14"/>
        <v>0</v>
      </c>
      <c r="N29" s="23">
        <f t="shared" si="14"/>
        <v>1</v>
      </c>
      <c r="O29" s="23">
        <f t="shared" si="14"/>
        <v>0</v>
      </c>
      <c r="P29" s="23">
        <f t="shared" si="12"/>
        <v>1</v>
      </c>
    </row>
    <row r="30" spans="2:16" ht="17.5" customHeight="1" x14ac:dyDescent="0.35">
      <c r="B30" s="3" t="str">
        <f t="shared" si="8"/>
        <v>Supervisor</v>
      </c>
      <c r="D30" s="23">
        <f t="shared" si="9"/>
        <v>0</v>
      </c>
      <c r="E30" s="23">
        <f t="shared" ref="E30:O30" si="15">E18-D18</f>
        <v>0</v>
      </c>
      <c r="F30" s="23">
        <f t="shared" si="15"/>
        <v>0</v>
      </c>
      <c r="G30" s="23">
        <f t="shared" si="15"/>
        <v>0</v>
      </c>
      <c r="H30" s="23">
        <f t="shared" si="15"/>
        <v>1</v>
      </c>
      <c r="I30" s="23">
        <f t="shared" si="15"/>
        <v>0</v>
      </c>
      <c r="J30" s="23">
        <f t="shared" si="15"/>
        <v>0</v>
      </c>
      <c r="K30" s="23">
        <f t="shared" si="15"/>
        <v>0</v>
      </c>
      <c r="L30" s="23">
        <f t="shared" si="15"/>
        <v>0</v>
      </c>
      <c r="M30" s="23">
        <f t="shared" si="15"/>
        <v>1</v>
      </c>
      <c r="N30" s="23">
        <f t="shared" si="15"/>
        <v>0</v>
      </c>
      <c r="O30" s="23">
        <f t="shared" si="15"/>
        <v>0</v>
      </c>
      <c r="P30" s="23">
        <f t="shared" si="12"/>
        <v>2</v>
      </c>
    </row>
    <row r="31" spans="2:16" ht="17.5" customHeight="1" x14ac:dyDescent="0.35">
      <c r="B31" s="3" t="str">
        <f t="shared" si="8"/>
        <v>Analyst</v>
      </c>
      <c r="D31" s="23">
        <f t="shared" si="9"/>
        <v>0</v>
      </c>
      <c r="E31" s="23">
        <f t="shared" ref="E31:O31" si="16">E19-D19</f>
        <v>0</v>
      </c>
      <c r="F31" s="23">
        <f t="shared" si="16"/>
        <v>0</v>
      </c>
      <c r="G31" s="23">
        <f t="shared" si="16"/>
        <v>0</v>
      </c>
      <c r="H31" s="23">
        <f t="shared" si="16"/>
        <v>0</v>
      </c>
      <c r="I31" s="23">
        <f t="shared" si="16"/>
        <v>0</v>
      </c>
      <c r="J31" s="23">
        <f t="shared" si="16"/>
        <v>1</v>
      </c>
      <c r="K31" s="23">
        <f t="shared" si="16"/>
        <v>0</v>
      </c>
      <c r="L31" s="23">
        <f t="shared" si="16"/>
        <v>0</v>
      </c>
      <c r="M31" s="23">
        <f t="shared" si="16"/>
        <v>0</v>
      </c>
      <c r="N31" s="23">
        <f t="shared" si="16"/>
        <v>0</v>
      </c>
      <c r="O31" s="23">
        <f t="shared" si="16"/>
        <v>0</v>
      </c>
      <c r="P31" s="23">
        <f t="shared" si="12"/>
        <v>1</v>
      </c>
    </row>
    <row r="32" spans="2:16" ht="17.5" customHeight="1" x14ac:dyDescent="0.35">
      <c r="B32" s="3" t="str">
        <f t="shared" si="8"/>
        <v>Admin. / Support</v>
      </c>
      <c r="D32" s="23">
        <f t="shared" si="9"/>
        <v>0</v>
      </c>
      <c r="E32" s="23">
        <f t="shared" ref="E32:O32" si="17">E20-D20</f>
        <v>0</v>
      </c>
      <c r="F32" s="23">
        <f t="shared" si="17"/>
        <v>0</v>
      </c>
      <c r="G32" s="23">
        <f t="shared" si="17"/>
        <v>0</v>
      </c>
      <c r="H32" s="23">
        <f t="shared" si="17"/>
        <v>0</v>
      </c>
      <c r="I32" s="23">
        <f t="shared" si="17"/>
        <v>0</v>
      </c>
      <c r="J32" s="23">
        <f t="shared" si="17"/>
        <v>0</v>
      </c>
      <c r="K32" s="23">
        <f t="shared" si="17"/>
        <v>0</v>
      </c>
      <c r="L32" s="23">
        <f t="shared" si="17"/>
        <v>0</v>
      </c>
      <c r="M32" s="23">
        <f t="shared" si="17"/>
        <v>0</v>
      </c>
      <c r="N32" s="23">
        <f t="shared" si="17"/>
        <v>0</v>
      </c>
      <c r="O32" s="23">
        <f t="shared" si="17"/>
        <v>0</v>
      </c>
      <c r="P32" s="23">
        <f t="shared" si="12"/>
        <v>0</v>
      </c>
    </row>
    <row r="33" spans="2:16" ht="17.5" customHeight="1" x14ac:dyDescent="0.35">
      <c r="B33" s="3" t="str">
        <f t="shared" si="8"/>
        <v>Outside Contractors</v>
      </c>
      <c r="D33" s="24">
        <f t="shared" si="9"/>
        <v>0</v>
      </c>
      <c r="E33" s="24">
        <f t="shared" ref="E33:O33" si="18">E21-D21</f>
        <v>0</v>
      </c>
      <c r="F33" s="24">
        <f t="shared" si="18"/>
        <v>0</v>
      </c>
      <c r="G33" s="24">
        <f t="shared" si="18"/>
        <v>0</v>
      </c>
      <c r="H33" s="24">
        <f t="shared" si="18"/>
        <v>0</v>
      </c>
      <c r="I33" s="24">
        <f t="shared" si="18"/>
        <v>0</v>
      </c>
      <c r="J33" s="24">
        <f t="shared" si="18"/>
        <v>0</v>
      </c>
      <c r="K33" s="24">
        <f t="shared" si="18"/>
        <v>0</v>
      </c>
      <c r="L33" s="24">
        <f t="shared" si="18"/>
        <v>0</v>
      </c>
      <c r="M33" s="24">
        <f t="shared" si="18"/>
        <v>0</v>
      </c>
      <c r="N33" s="24">
        <f t="shared" si="18"/>
        <v>0</v>
      </c>
      <c r="O33" s="24">
        <f t="shared" si="18"/>
        <v>0</v>
      </c>
      <c r="P33" s="24">
        <f t="shared" si="12"/>
        <v>0</v>
      </c>
    </row>
    <row r="34" spans="2:16" ht="17.5" customHeight="1" x14ac:dyDescent="0.4">
      <c r="B34" s="4" t="s">
        <v>141</v>
      </c>
      <c r="D34" s="25">
        <f>SUM(D26:D33)</f>
        <v>0</v>
      </c>
      <c r="E34" s="25">
        <f t="shared" ref="E34:P34" si="19">SUM(E26:E33)</f>
        <v>2</v>
      </c>
      <c r="F34" s="25">
        <f t="shared" si="19"/>
        <v>0</v>
      </c>
      <c r="G34" s="25">
        <f t="shared" si="19"/>
        <v>2</v>
      </c>
      <c r="H34" s="25">
        <f t="shared" si="19"/>
        <v>1</v>
      </c>
      <c r="I34" s="25">
        <f t="shared" si="19"/>
        <v>2</v>
      </c>
      <c r="J34" s="25">
        <f t="shared" si="19"/>
        <v>1</v>
      </c>
      <c r="K34" s="25">
        <f t="shared" si="19"/>
        <v>2</v>
      </c>
      <c r="L34" s="25">
        <f t="shared" si="19"/>
        <v>0</v>
      </c>
      <c r="M34" s="25">
        <f t="shared" si="19"/>
        <v>3</v>
      </c>
      <c r="N34" s="25">
        <f t="shared" si="19"/>
        <v>1</v>
      </c>
      <c r="O34" s="25">
        <f t="shared" si="19"/>
        <v>2</v>
      </c>
      <c r="P34" s="25">
        <f t="shared" si="19"/>
        <v>16</v>
      </c>
    </row>
    <row r="35" spans="2:16" ht="17.5" customHeight="1" x14ac:dyDescent="0.4">
      <c r="B35" s="4" t="s">
        <v>152</v>
      </c>
      <c r="D35" s="25">
        <f>+D34-D33</f>
        <v>0</v>
      </c>
      <c r="E35" s="25">
        <f t="shared" ref="E35:P35" si="20">+E34-E33</f>
        <v>2</v>
      </c>
      <c r="F35" s="25">
        <f t="shared" si="20"/>
        <v>0</v>
      </c>
      <c r="G35" s="25">
        <f t="shared" si="20"/>
        <v>2</v>
      </c>
      <c r="H35" s="25">
        <f t="shared" si="20"/>
        <v>1</v>
      </c>
      <c r="I35" s="25">
        <f t="shared" si="20"/>
        <v>2</v>
      </c>
      <c r="J35" s="25">
        <f t="shared" si="20"/>
        <v>1</v>
      </c>
      <c r="K35" s="25">
        <f t="shared" si="20"/>
        <v>2</v>
      </c>
      <c r="L35" s="25">
        <f t="shared" si="20"/>
        <v>0</v>
      </c>
      <c r="M35" s="25">
        <f t="shared" si="20"/>
        <v>3</v>
      </c>
      <c r="N35" s="25">
        <f t="shared" si="20"/>
        <v>1</v>
      </c>
      <c r="O35" s="25">
        <f t="shared" si="20"/>
        <v>2</v>
      </c>
      <c r="P35" s="25">
        <f t="shared" si="20"/>
        <v>16</v>
      </c>
    </row>
    <row r="36" spans="2:16" ht="17.5" customHeight="1" x14ac:dyDescent="0.35">
      <c r="B36" s="3"/>
    </row>
    <row r="37" spans="2:16" ht="17.5" customHeight="1" x14ac:dyDescent="0.35">
      <c r="B37" s="3"/>
    </row>
    <row r="38" spans="2:16" ht="17.5" customHeight="1" x14ac:dyDescent="0.35">
      <c r="B38" s="3"/>
    </row>
    <row r="39" spans="2:16" ht="17.5" customHeight="1" x14ac:dyDescent="0.35">
      <c r="B39" s="3"/>
    </row>
    <row r="40" spans="2:16" ht="17.5" customHeight="1" x14ac:dyDescent="0.35">
      <c r="B40" s="3"/>
    </row>
    <row r="41" spans="2:16" ht="17.5" customHeight="1" x14ac:dyDescent="0.35">
      <c r="B41" s="3"/>
    </row>
    <row r="42" spans="2:16" ht="17.5" customHeight="1" x14ac:dyDescent="0.35">
      <c r="B42" s="3"/>
    </row>
    <row r="43" spans="2:16" ht="17.5" customHeight="1" x14ac:dyDescent="0.35">
      <c r="B43" s="3"/>
    </row>
    <row r="44" spans="2:16" ht="17.5" customHeight="1" x14ac:dyDescent="0.35">
      <c r="B44" s="3"/>
    </row>
    <row r="45" spans="2:16" ht="17.5" customHeight="1" x14ac:dyDescent="0.35">
      <c r="B45" s="3"/>
    </row>
    <row r="46" spans="2:16" ht="17.5" customHeight="1" x14ac:dyDescent="0.35">
      <c r="B46" s="3"/>
    </row>
    <row r="47" spans="2:16" ht="17.5" customHeight="1" x14ac:dyDescent="0.35">
      <c r="B47" s="3"/>
    </row>
    <row r="48" spans="2:16" ht="17.5" customHeight="1" x14ac:dyDescent="0.35">
      <c r="B48" s="3"/>
    </row>
    <row r="49" ht="17.5" customHeight="1" x14ac:dyDescent="0.35"/>
    <row r="50" ht="17.5" customHeight="1" x14ac:dyDescent="0.35"/>
    <row r="51" ht="17.5" customHeight="1" x14ac:dyDescent="0.35"/>
    <row r="52" ht="17.5" customHeight="1" x14ac:dyDescent="0.35"/>
  </sheetData>
  <mergeCells count="3">
    <mergeCell ref="B2:P2"/>
    <mergeCell ref="B3:P3"/>
    <mergeCell ref="B12:P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6F1D6-A5E7-45D2-B409-F61A8AFE42D3}">
  <dimension ref="A1:Q36"/>
  <sheetViews>
    <sheetView showGridLines="0" zoomScaleNormal="100" workbookViewId="0">
      <pane ySplit="2" topLeftCell="A3" activePane="bottomLeft" state="frozen"/>
      <selection pane="bottomLeft" activeCell="P40" sqref="P40"/>
    </sheetView>
  </sheetViews>
  <sheetFormatPr defaultColWidth="10.81640625" defaultRowHeight="14.5" outlineLevelRow="1" x14ac:dyDescent="0.35"/>
  <cols>
    <col min="1" max="1" width="3" customWidth="1"/>
    <col min="2" max="2" width="36.1796875" customWidth="1"/>
    <col min="3" max="3" width="10.453125" customWidth="1"/>
    <col min="4" max="16" width="16.6328125" customWidth="1"/>
  </cols>
  <sheetData>
    <row r="1" spans="2:17" ht="5" customHeight="1" x14ac:dyDescent="0.35"/>
    <row r="2" spans="2:17" ht="25" customHeight="1" x14ac:dyDescent="0.35">
      <c r="B2" s="75" t="s">
        <v>63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2:17" ht="18" x14ac:dyDescent="0.4">
      <c r="B3" s="4"/>
      <c r="C3" s="3"/>
      <c r="D3" s="51">
        <v>3</v>
      </c>
      <c r="E3" s="51">
        <f>D3+1</f>
        <v>4</v>
      </c>
      <c r="F3" s="51">
        <f t="shared" ref="F3:O3" si="0">E3+1</f>
        <v>5</v>
      </c>
      <c r="G3" s="51">
        <f t="shared" si="0"/>
        <v>6</v>
      </c>
      <c r="H3" s="51">
        <f t="shared" si="0"/>
        <v>7</v>
      </c>
      <c r="I3" s="51">
        <f t="shared" si="0"/>
        <v>8</v>
      </c>
      <c r="J3" s="51">
        <f t="shared" si="0"/>
        <v>9</v>
      </c>
      <c r="K3" s="51">
        <f t="shared" si="0"/>
        <v>10</v>
      </c>
      <c r="L3" s="51">
        <f t="shared" si="0"/>
        <v>11</v>
      </c>
      <c r="M3" s="51">
        <f t="shared" si="0"/>
        <v>12</v>
      </c>
      <c r="N3" s="51">
        <f t="shared" si="0"/>
        <v>13</v>
      </c>
      <c r="O3" s="51">
        <f t="shared" si="0"/>
        <v>14</v>
      </c>
    </row>
    <row r="4" spans="2:17" ht="17.5" customHeight="1" x14ac:dyDescent="0.35">
      <c r="B4" s="78" t="s">
        <v>5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7" ht="17.5" customHeight="1" x14ac:dyDescent="0.4">
      <c r="B5" s="4" t="s">
        <v>18</v>
      </c>
      <c r="C5" s="3"/>
      <c r="D5" s="21">
        <v>45292</v>
      </c>
      <c r="E5" s="21">
        <v>45323</v>
      </c>
      <c r="F5" s="21">
        <v>45354</v>
      </c>
      <c r="G5" s="21">
        <v>45385</v>
      </c>
      <c r="H5" s="21">
        <v>45416</v>
      </c>
      <c r="I5" s="21">
        <v>45447</v>
      </c>
      <c r="J5" s="21">
        <v>45478</v>
      </c>
      <c r="K5" s="21">
        <v>45509</v>
      </c>
      <c r="L5" s="21">
        <v>45540</v>
      </c>
      <c r="M5" s="21">
        <v>45571</v>
      </c>
      <c r="N5" s="21">
        <v>45602</v>
      </c>
      <c r="O5" s="21">
        <v>45633</v>
      </c>
      <c r="P5" s="21" t="s">
        <v>16</v>
      </c>
      <c r="Q5" s="21" t="s">
        <v>108</v>
      </c>
    </row>
    <row r="6" spans="2:17" ht="17.5" customHeight="1" x14ac:dyDescent="0.35">
      <c r="B6" s="6" t="str">
        <f>+Revenue!B22</f>
        <v>Large Corporate</v>
      </c>
      <c r="C6" s="3"/>
      <c r="D6" s="40" cm="1">
        <f t="array" ref="D6">INDEX(Revenue!$B$22:$P$26,MATCH(Consolidated!$B6,Revenue!$B$22:$B$26,0),D$3)</f>
        <v>2575000</v>
      </c>
      <c r="E6" s="40" cm="1">
        <f t="array" ref="E6">INDEX(Revenue!$B$22:$P$26,MATCH(Consolidated!$B6,Revenue!$B$22:$B$26,0),E$3)</f>
        <v>2652250</v>
      </c>
      <c r="F6" s="40" cm="1">
        <f t="array" ref="F6">INDEX(Revenue!$B$22:$P$26,MATCH(Consolidated!$B6,Revenue!$B$22:$B$26,0),F$3)</f>
        <v>2731817.5</v>
      </c>
      <c r="G6" s="40" cm="1">
        <f t="array" ref="G6">INDEX(Revenue!$B$22:$P$26,MATCH(Consolidated!$B6,Revenue!$B$22:$B$26,0),G$3)</f>
        <v>2813772.0249999999</v>
      </c>
      <c r="H6" s="40" cm="1">
        <f t="array" ref="H6">INDEX(Revenue!$B$22:$P$26,MATCH(Consolidated!$B6,Revenue!$B$22:$B$26,0),H$3)</f>
        <v>2898185.1857500002</v>
      </c>
      <c r="I6" s="40" cm="1">
        <f t="array" ref="I6">INDEX(Revenue!$B$22:$P$26,MATCH(Consolidated!$B6,Revenue!$B$22:$B$26,0),I$3)</f>
        <v>2985130.7413225002</v>
      </c>
      <c r="J6" s="40" cm="1">
        <f t="array" ref="J6">INDEX(Revenue!$B$22:$P$26,MATCH(Consolidated!$B6,Revenue!$B$22:$B$26,0),J$3)</f>
        <v>3074684.6635621749</v>
      </c>
      <c r="K6" s="40" cm="1">
        <f t="array" ref="K6">INDEX(Revenue!$B$22:$P$26,MATCH(Consolidated!$B6,Revenue!$B$22:$B$26,0),K$3)</f>
        <v>3166925.2034690403</v>
      </c>
      <c r="L6" s="40" cm="1">
        <f t="array" ref="L6">INDEX(Revenue!$B$22:$P$26,MATCH(Consolidated!$B6,Revenue!$B$22:$B$26,0),L$3)</f>
        <v>3261932.9595731115</v>
      </c>
      <c r="M6" s="40" cm="1">
        <f t="array" ref="M6">INDEX(Revenue!$B$22:$P$26,MATCH(Consolidated!$B6,Revenue!$B$22:$B$26,0),M$3)</f>
        <v>3359790.9483603053</v>
      </c>
      <c r="N6" s="40" cm="1">
        <f t="array" ref="N6">INDEX(Revenue!$B$22:$P$26,MATCH(Consolidated!$B6,Revenue!$B$22:$B$26,0),N$3)</f>
        <v>3460584.6768111149</v>
      </c>
      <c r="O6" s="40" cm="1">
        <f t="array" ref="O6">INDEX(Revenue!$B$22:$P$26,MATCH(Consolidated!$B6,Revenue!$B$22:$B$26,0),O$3)</f>
        <v>3564402.2171154483</v>
      </c>
      <c r="P6" s="40">
        <f>SUM(D6:O6)</f>
        <v>36544476.1209637</v>
      </c>
    </row>
    <row r="7" spans="2:17" ht="17.5" customHeight="1" x14ac:dyDescent="0.35">
      <c r="B7" s="6" t="str">
        <f>+Revenue!B23</f>
        <v>Medium Corporate</v>
      </c>
      <c r="C7" s="3"/>
      <c r="D7" s="40" cm="1">
        <f t="array" ref="D7">INDEX(Revenue!$B$22:$P$26,MATCH(Consolidated!$B7,Revenue!$B$22:$B$26,0),D$3)</f>
        <v>1545000</v>
      </c>
      <c r="E7" s="40" cm="1">
        <f t="array" ref="E7">INDEX(Revenue!$B$22:$P$26,MATCH(Consolidated!$B7,Revenue!$B$22:$B$26,0),E$3)</f>
        <v>1591350</v>
      </c>
      <c r="F7" s="40" cm="1">
        <f t="array" ref="F7">INDEX(Revenue!$B$22:$P$26,MATCH(Consolidated!$B7,Revenue!$B$22:$B$26,0),F$3)</f>
        <v>1639090.5</v>
      </c>
      <c r="G7" s="40" cm="1">
        <f t="array" ref="G7">INDEX(Revenue!$B$22:$P$26,MATCH(Consolidated!$B7,Revenue!$B$22:$B$26,0),G$3)</f>
        <v>1688263.2150000001</v>
      </c>
      <c r="H7" s="40" cm="1">
        <f t="array" ref="H7">INDEX(Revenue!$B$22:$P$26,MATCH(Consolidated!$B7,Revenue!$B$22:$B$26,0),H$3)</f>
        <v>1738911.11145</v>
      </c>
      <c r="I7" s="40" cm="1">
        <f t="array" ref="I7">INDEX(Revenue!$B$22:$P$26,MATCH(Consolidated!$B7,Revenue!$B$22:$B$26,0),I$3)</f>
        <v>1791078.4447935</v>
      </c>
      <c r="J7" s="40" cm="1">
        <f t="array" ref="J7">INDEX(Revenue!$B$22:$P$26,MATCH(Consolidated!$B7,Revenue!$B$22:$B$26,0),J$3)</f>
        <v>1844810.7981373051</v>
      </c>
      <c r="K7" s="40" cm="1">
        <f t="array" ref="K7">INDEX(Revenue!$B$22:$P$26,MATCH(Consolidated!$B7,Revenue!$B$22:$B$26,0),K$3)</f>
        <v>1900155.1220814243</v>
      </c>
      <c r="L7" s="40" cm="1">
        <f t="array" ref="L7">INDEX(Revenue!$B$22:$P$26,MATCH(Consolidated!$B7,Revenue!$B$22:$B$26,0),L$3)</f>
        <v>1957159.775743867</v>
      </c>
      <c r="M7" s="40" cm="1">
        <f t="array" ref="M7">INDEX(Revenue!$B$22:$P$26,MATCH(Consolidated!$B7,Revenue!$B$22:$B$26,0),M$3)</f>
        <v>2015874.5690161833</v>
      </c>
      <c r="N7" s="40" cm="1">
        <f t="array" ref="N7">INDEX(Revenue!$B$22:$P$26,MATCH(Consolidated!$B7,Revenue!$B$22:$B$26,0),N$3)</f>
        <v>2076350.806086669</v>
      </c>
      <c r="O7" s="40" cm="1">
        <f t="array" ref="O7">INDEX(Revenue!$B$22:$P$26,MATCH(Consolidated!$B7,Revenue!$B$22:$B$26,0),O$3)</f>
        <v>2138641.3302692687</v>
      </c>
      <c r="P7" s="40">
        <f t="shared" ref="P7:P10" si="1">SUM(D7:O7)</f>
        <v>21926685.672578219</v>
      </c>
    </row>
    <row r="8" spans="2:17" ht="17.5" customHeight="1" x14ac:dyDescent="0.35">
      <c r="B8" s="6" t="str">
        <f>+Revenue!B24</f>
        <v>SMEs</v>
      </c>
      <c r="C8" s="3"/>
      <c r="D8" s="40" cm="1">
        <f t="array" ref="D8">INDEX(Revenue!$B$22:$P$26,MATCH(Consolidated!$B8,Revenue!$B$22:$B$26,0),D$3)</f>
        <v>1030000</v>
      </c>
      <c r="E8" s="40" cm="1">
        <f t="array" ref="E8">INDEX(Revenue!$B$22:$P$26,MATCH(Consolidated!$B8,Revenue!$B$22:$B$26,0),E$3)</f>
        <v>1060900</v>
      </c>
      <c r="F8" s="40" cm="1">
        <f t="array" ref="F8">INDEX(Revenue!$B$22:$P$26,MATCH(Consolidated!$B8,Revenue!$B$22:$B$26,0),F$3)</f>
        <v>1092727</v>
      </c>
      <c r="G8" s="40" cm="1">
        <f t="array" ref="G8">INDEX(Revenue!$B$22:$P$26,MATCH(Consolidated!$B8,Revenue!$B$22:$B$26,0),G$3)</f>
        <v>1125508.81</v>
      </c>
      <c r="H8" s="40" cm="1">
        <f t="array" ref="H8">INDEX(Revenue!$B$22:$P$26,MATCH(Consolidated!$B8,Revenue!$B$22:$B$26,0),H$3)</f>
        <v>1159274.0743</v>
      </c>
      <c r="I8" s="40" cm="1">
        <f t="array" ref="I8">INDEX(Revenue!$B$22:$P$26,MATCH(Consolidated!$B8,Revenue!$B$22:$B$26,0),I$3)</f>
        <v>1194052.2965290002</v>
      </c>
      <c r="J8" s="40" cm="1">
        <f t="array" ref="J8">INDEX(Revenue!$B$22:$P$26,MATCH(Consolidated!$B8,Revenue!$B$22:$B$26,0),J$3)</f>
        <v>1229873.86542487</v>
      </c>
      <c r="K8" s="40" cm="1">
        <f t="array" ref="K8">INDEX(Revenue!$B$22:$P$26,MATCH(Consolidated!$B8,Revenue!$B$22:$B$26,0),K$3)</f>
        <v>1266770.0813876162</v>
      </c>
      <c r="L8" s="40" cm="1">
        <f t="array" ref="L8">INDEX(Revenue!$B$22:$P$26,MATCH(Consolidated!$B8,Revenue!$B$22:$B$26,0),L$3)</f>
        <v>1304773.1838292447</v>
      </c>
      <c r="M8" s="40" cm="1">
        <f t="array" ref="M8">INDEX(Revenue!$B$22:$P$26,MATCH(Consolidated!$B8,Revenue!$B$22:$B$26,0),M$3)</f>
        <v>1343916.3793441223</v>
      </c>
      <c r="N8" s="40" cm="1">
        <f t="array" ref="N8">INDEX(Revenue!$B$22:$P$26,MATCH(Consolidated!$B8,Revenue!$B$22:$B$26,0),N$3)</f>
        <v>1384233.8707244459</v>
      </c>
      <c r="O8" s="40" cm="1">
        <f t="array" ref="O8">INDEX(Revenue!$B$22:$P$26,MATCH(Consolidated!$B8,Revenue!$B$22:$B$26,0),O$3)</f>
        <v>1425760.8868461794</v>
      </c>
      <c r="P8" s="40">
        <f t="shared" si="1"/>
        <v>14617790.448385479</v>
      </c>
    </row>
    <row r="9" spans="2:17" ht="17.5" customHeight="1" x14ac:dyDescent="0.35">
      <c r="B9" s="6" t="str">
        <f>+Revenue!B25</f>
        <v>Individual</v>
      </c>
      <c r="C9" s="3"/>
      <c r="D9" s="40" cm="1">
        <f t="array" ref="D9">INDEX(Revenue!$B$22:$P$26,MATCH(Consolidated!$B9,Revenue!$B$22:$B$26,0),D$3)</f>
        <v>51500</v>
      </c>
      <c r="E9" s="40" cm="1">
        <f t="array" ref="E9">INDEX(Revenue!$B$22:$P$26,MATCH(Consolidated!$B9,Revenue!$B$22:$B$26,0),E$3)</f>
        <v>53045</v>
      </c>
      <c r="F9" s="40" cm="1">
        <f t="array" ref="F9">INDEX(Revenue!$B$22:$P$26,MATCH(Consolidated!$B9,Revenue!$B$22:$B$26,0),F$3)</f>
        <v>54636.35</v>
      </c>
      <c r="G9" s="40" cm="1">
        <f t="array" ref="G9">INDEX(Revenue!$B$22:$P$26,MATCH(Consolidated!$B9,Revenue!$B$22:$B$26,0),G$3)</f>
        <v>56275.440500000004</v>
      </c>
      <c r="H9" s="40" cm="1">
        <f t="array" ref="H9">INDEX(Revenue!$B$22:$P$26,MATCH(Consolidated!$B9,Revenue!$B$22:$B$26,0),H$3)</f>
        <v>57963.703715000003</v>
      </c>
      <c r="I9" s="40" cm="1">
        <f t="array" ref="I9">INDEX(Revenue!$B$22:$P$26,MATCH(Consolidated!$B9,Revenue!$B$22:$B$26,0),I$3)</f>
        <v>59702.614826450001</v>
      </c>
      <c r="J9" s="40" cm="1">
        <f t="array" ref="J9">INDEX(Revenue!$B$22:$P$26,MATCH(Consolidated!$B9,Revenue!$B$22:$B$26,0),J$3)</f>
        <v>61493.693271243501</v>
      </c>
      <c r="K9" s="40" cm="1">
        <f t="array" ref="K9">INDEX(Revenue!$B$22:$P$26,MATCH(Consolidated!$B9,Revenue!$B$22:$B$26,0),K$3)</f>
        <v>63338.504069380811</v>
      </c>
      <c r="L9" s="40" cm="1">
        <f t="array" ref="L9">INDEX(Revenue!$B$22:$P$26,MATCH(Consolidated!$B9,Revenue!$B$22:$B$26,0),L$3)</f>
        <v>65238.659191462233</v>
      </c>
      <c r="M9" s="40" cm="1">
        <f t="array" ref="M9">INDEX(Revenue!$B$22:$P$26,MATCH(Consolidated!$B9,Revenue!$B$22:$B$26,0),M$3)</f>
        <v>67195.818967206113</v>
      </c>
      <c r="N9" s="40" cm="1">
        <f t="array" ref="N9">INDEX(Revenue!$B$22:$P$26,MATCH(Consolidated!$B9,Revenue!$B$22:$B$26,0),N$3)</f>
        <v>69211.693536222301</v>
      </c>
      <c r="O9" s="40" cm="1">
        <f t="array" ref="O9">INDEX(Revenue!$B$22:$P$26,MATCH(Consolidated!$B9,Revenue!$B$22:$B$26,0),O$3)</f>
        <v>71288.04434230896</v>
      </c>
      <c r="P9" s="40">
        <f t="shared" si="1"/>
        <v>730889.52241927397</v>
      </c>
    </row>
    <row r="10" spans="2:17" ht="17.5" customHeight="1" x14ac:dyDescent="0.35">
      <c r="B10" s="6" t="str">
        <f>+Revenue!B26</f>
        <v>Other</v>
      </c>
      <c r="C10" s="3"/>
      <c r="D10" s="41" cm="1">
        <f t="array" ref="D10">INDEX(Revenue!$B$22:$P$26,MATCH(Consolidated!$B10,Revenue!$B$22:$B$26,0),D$3)</f>
        <v>51500</v>
      </c>
      <c r="E10" s="41" cm="1">
        <f t="array" ref="E10">INDEX(Revenue!$B$22:$P$26,MATCH(Consolidated!$B10,Revenue!$B$22:$B$26,0),E$3)</f>
        <v>53045</v>
      </c>
      <c r="F10" s="41" cm="1">
        <f t="array" ref="F10">INDEX(Revenue!$B$22:$P$26,MATCH(Consolidated!$B10,Revenue!$B$22:$B$26,0),F$3)</f>
        <v>54636.35</v>
      </c>
      <c r="G10" s="41" cm="1">
        <f t="array" ref="G10">INDEX(Revenue!$B$22:$P$26,MATCH(Consolidated!$B10,Revenue!$B$22:$B$26,0),G$3)</f>
        <v>56275.440500000004</v>
      </c>
      <c r="H10" s="41" cm="1">
        <f t="array" ref="H10">INDEX(Revenue!$B$22:$P$26,MATCH(Consolidated!$B10,Revenue!$B$22:$B$26,0),H$3)</f>
        <v>57963.703715000003</v>
      </c>
      <c r="I10" s="41" cm="1">
        <f t="array" ref="I10">INDEX(Revenue!$B$22:$P$26,MATCH(Consolidated!$B10,Revenue!$B$22:$B$26,0),I$3)</f>
        <v>59702.614826450001</v>
      </c>
      <c r="J10" s="41" cm="1">
        <f t="array" ref="J10">INDEX(Revenue!$B$22:$P$26,MATCH(Consolidated!$B10,Revenue!$B$22:$B$26,0),J$3)</f>
        <v>61493.693271243501</v>
      </c>
      <c r="K10" s="41" cm="1">
        <f t="array" ref="K10">INDEX(Revenue!$B$22:$P$26,MATCH(Consolidated!$B10,Revenue!$B$22:$B$26,0),K$3)</f>
        <v>63338.504069380811</v>
      </c>
      <c r="L10" s="41" cm="1">
        <f t="array" ref="L10">INDEX(Revenue!$B$22:$P$26,MATCH(Consolidated!$B10,Revenue!$B$22:$B$26,0),L$3)</f>
        <v>65238.659191462233</v>
      </c>
      <c r="M10" s="41" cm="1">
        <f t="array" ref="M10">INDEX(Revenue!$B$22:$P$26,MATCH(Consolidated!$B10,Revenue!$B$22:$B$26,0),M$3)</f>
        <v>67195.818967206113</v>
      </c>
      <c r="N10" s="41" cm="1">
        <f t="array" ref="N10">INDEX(Revenue!$B$22:$P$26,MATCH(Consolidated!$B10,Revenue!$B$22:$B$26,0),N$3)</f>
        <v>69211.693536222301</v>
      </c>
      <c r="O10" s="41" cm="1">
        <f t="array" ref="O10">INDEX(Revenue!$B$22:$P$26,MATCH(Consolidated!$B10,Revenue!$B$22:$B$26,0),O$3)</f>
        <v>71288.04434230896</v>
      </c>
      <c r="P10" s="41">
        <f t="shared" si="1"/>
        <v>730889.52241927397</v>
      </c>
    </row>
    <row r="11" spans="2:17" ht="17.5" customHeight="1" x14ac:dyDescent="0.4">
      <c r="B11" s="4" t="s">
        <v>21</v>
      </c>
      <c r="C11" s="3"/>
      <c r="D11" s="42">
        <f>SUM(D6:D10)</f>
        <v>5253000</v>
      </c>
      <c r="E11" s="42">
        <f>SUM(E6:E10)</f>
        <v>5410590</v>
      </c>
      <c r="F11" s="42">
        <f t="shared" ref="F11:P11" si="2">SUM(F6:F10)</f>
        <v>5572907.6999999993</v>
      </c>
      <c r="G11" s="42">
        <f t="shared" si="2"/>
        <v>5740094.9309999999</v>
      </c>
      <c r="H11" s="42">
        <f t="shared" si="2"/>
        <v>5912297.778930001</v>
      </c>
      <c r="I11" s="42">
        <f t="shared" si="2"/>
        <v>6089666.7122979015</v>
      </c>
      <c r="J11" s="42">
        <f t="shared" si="2"/>
        <v>6272356.7136668377</v>
      </c>
      <c r="K11" s="42">
        <f t="shared" si="2"/>
        <v>6460527.4150768425</v>
      </c>
      <c r="L11" s="42">
        <f t="shared" si="2"/>
        <v>6654343.2375291474</v>
      </c>
      <c r="M11" s="42">
        <f t="shared" si="2"/>
        <v>6853973.5346550234</v>
      </c>
      <c r="N11" s="42">
        <f t="shared" si="2"/>
        <v>7059592.7406946737</v>
      </c>
      <c r="O11" s="42">
        <f t="shared" si="2"/>
        <v>7271380.5229155142</v>
      </c>
      <c r="P11" s="42">
        <f t="shared" si="2"/>
        <v>74550731.286765948</v>
      </c>
    </row>
    <row r="12" spans="2:17" ht="17.5" hidden="1" customHeight="1" outlineLevel="1" x14ac:dyDescent="0.35">
      <c r="B12" s="67" t="s">
        <v>145</v>
      </c>
      <c r="C12" s="3"/>
      <c r="D12" s="67">
        <f>D11-Revenue!D27</f>
        <v>0</v>
      </c>
      <c r="E12" s="67">
        <f>E11-Revenue!E27</f>
        <v>0</v>
      </c>
      <c r="F12" s="67">
        <f>F11-Revenue!F27</f>
        <v>0</v>
      </c>
      <c r="G12" s="67">
        <f>G11-Revenue!G27</f>
        <v>0</v>
      </c>
      <c r="H12" s="67">
        <f>H11-Revenue!H27</f>
        <v>0</v>
      </c>
      <c r="I12" s="67">
        <f>I11-Revenue!I27</f>
        <v>0</v>
      </c>
      <c r="J12" s="67">
        <f>J11-Revenue!J27</f>
        <v>0</v>
      </c>
      <c r="K12" s="67">
        <f>K11-Revenue!K27</f>
        <v>0</v>
      </c>
      <c r="L12" s="67">
        <f>L11-Revenue!L27</f>
        <v>0</v>
      </c>
      <c r="M12" s="67">
        <f>M11-Revenue!M27</f>
        <v>0</v>
      </c>
      <c r="N12" s="67">
        <f>N11-Revenue!N27</f>
        <v>0</v>
      </c>
      <c r="O12" s="67">
        <f>O11-Revenue!O27</f>
        <v>0</v>
      </c>
      <c r="P12" s="67">
        <f>P11-Revenue!P27</f>
        <v>0</v>
      </c>
    </row>
    <row r="13" spans="2:17" collapsed="1" x14ac:dyDescent="0.35"/>
    <row r="14" spans="2:17" ht="17.5" x14ac:dyDescent="0.35">
      <c r="B14" s="3" t="s">
        <v>96</v>
      </c>
      <c r="D14" s="40">
        <f>SUM(Sales!D26,Marketing!D35,IT!D29,HR!D28)</f>
        <v>2246757.333333333</v>
      </c>
      <c r="E14" s="40">
        <f>SUM(Sales!E26,Marketing!E35,IT!E29,HR!E28)</f>
        <v>877208.4533333329</v>
      </c>
      <c r="F14" s="40">
        <f>SUM(Sales!F26,Marketing!F35,IT!F29,HR!F28)</f>
        <v>878002.70693333284</v>
      </c>
      <c r="G14" s="40">
        <f>SUM(Sales!G26,Marketing!G35,IT!G29,HR!G28)</f>
        <v>887220.7881413328</v>
      </c>
      <c r="H14" s="40">
        <f>SUM(Sales!H26,Marketing!H35,IT!H29,HR!H28)</f>
        <v>891796.74511890626</v>
      </c>
      <c r="I14" s="40">
        <f>SUM(Sales!I26,Marketing!I35,IT!I29,HR!I28)</f>
        <v>901064.64747247333</v>
      </c>
      <c r="J14" s="40">
        <f>SUM(Sales!J26,Marketing!J35,IT!J29,HR!J28)</f>
        <v>904758.58689664747</v>
      </c>
      <c r="K14" s="40">
        <f>SUM(Sales!K26,Marketing!K35,IT!K29,HR!K28)</f>
        <v>914079.34450354706</v>
      </c>
      <c r="L14" s="40">
        <f>SUM(Sales!L26,Marketing!L35,IT!L29,HR!L28)</f>
        <v>915027.72483865335</v>
      </c>
      <c r="M14" s="40">
        <f>SUM(Sales!M26,Marketing!M35,IT!M29,HR!M28)</f>
        <v>928137.88991714665</v>
      </c>
      <c r="N14" s="40">
        <f>SUM(Sales!N26,Marketing!N35,IT!N29,HR!N28)</f>
        <v>934744.0266146611</v>
      </c>
      <c r="O14" s="40">
        <f>SUM(Sales!O26,Marketing!O35,IT!O29,HR!O28)</f>
        <v>944180.34741310077</v>
      </c>
      <c r="P14" s="40">
        <f t="shared" ref="P14:P21" si="3">SUM(D14:O14)</f>
        <v>12222978.594516465</v>
      </c>
      <c r="Q14" s="43">
        <f t="shared" ref="Q14:Q22" si="4">P14/$P$11</f>
        <v>0.16395518036569892</v>
      </c>
    </row>
    <row r="15" spans="2:17" ht="18" x14ac:dyDescent="0.4">
      <c r="B15" s="3" t="s">
        <v>28</v>
      </c>
      <c r="C15" s="7"/>
      <c r="D15" s="40">
        <f>SUM(Sales!D32,Marketing!D41,IT!D35,HR!D34)</f>
        <v>2666700.2333333334</v>
      </c>
      <c r="E15" s="40">
        <f>SUM(Sales!E32,Marketing!E41,IT!E35,HR!E34)</f>
        <v>89561.426166666643</v>
      </c>
      <c r="F15" s="40">
        <f>SUM(Sales!F32,Marketing!F41,IT!F35,HR!F34)</f>
        <v>59594.756451666646</v>
      </c>
      <c r="G15" s="40">
        <f>SUM(Sales!G32,Marketing!G41,IT!G35,HR!G34)</f>
        <v>90314.919978549966</v>
      </c>
      <c r="H15" s="40">
        <f>SUM(Sales!H32,Marketing!H41,IT!H35,HR!H34)</f>
        <v>75590.280077906471</v>
      </c>
      <c r="I15" s="40">
        <f>SUM(Sales!I32,Marketing!I41,IT!I35,HR!I34)</f>
        <v>91312.534313577009</v>
      </c>
      <c r="J15" s="40">
        <f>SUM(Sales!J32,Marketing!J41,IT!J35,HR!J34)</f>
        <v>76550.881176317649</v>
      </c>
      <c r="K15" s="40">
        <f>SUM(Sales!K32,Marketing!K41,IT!K35,HR!K34)</f>
        <v>92275.353444940512</v>
      </c>
      <c r="L15" s="40">
        <f>SUM(Sales!L32,Marketing!L41,IT!L35,HR!L34)</f>
        <v>62315.151548288719</v>
      </c>
      <c r="M15" s="40">
        <f>SUM(Sales!M32,Marketing!M41,IT!M35,HR!M34)</f>
        <v>108281.97692807073</v>
      </c>
      <c r="N15" s="40">
        <f>SUM(Sales!N32,Marketing!N41,IT!N35,HR!N34)</f>
        <v>78642.532069246183</v>
      </c>
      <c r="O15" s="40">
        <f>SUM(Sales!O32,Marketing!O41,IT!O35,HR!O34)</f>
        <v>94371.853864656878</v>
      </c>
      <c r="P15" s="40">
        <f t="shared" si="3"/>
        <v>3585511.8993532211</v>
      </c>
      <c r="Q15" s="43">
        <f t="shared" si="4"/>
        <v>4.8094925931192196E-2</v>
      </c>
    </row>
    <row r="16" spans="2:17" ht="18" x14ac:dyDescent="0.4">
      <c r="B16" s="52" t="s">
        <v>29</v>
      </c>
      <c r="C16" s="7"/>
      <c r="D16" s="40">
        <f>SUM(Sales!D38,Marketing!D47,IT!D41,HR!D40)</f>
        <v>18416.666666666657</v>
      </c>
      <c r="E16" s="40">
        <f>SUM(Sales!E38,Marketing!E47,IT!E41,HR!E40)</f>
        <v>18633.333333333321</v>
      </c>
      <c r="F16" s="40">
        <f>SUM(Sales!F38,Marketing!F47,IT!F41,HR!F40)</f>
        <v>18633.333333333321</v>
      </c>
      <c r="G16" s="40">
        <f>SUM(Sales!G38,Marketing!G47,IT!G41,HR!G40)</f>
        <v>18849.999999999989</v>
      </c>
      <c r="H16" s="40">
        <f>SUM(Sales!H38,Marketing!H47,IT!H41,HR!H40)</f>
        <v>18958.333333333321</v>
      </c>
      <c r="I16" s="40">
        <f>SUM(Sales!I38,Marketing!I47,IT!I41,HR!I40)</f>
        <v>19174.999999999989</v>
      </c>
      <c r="J16" s="40">
        <f>SUM(Sales!J38,Marketing!J47,IT!J41,HR!J40)</f>
        <v>19283.333333333325</v>
      </c>
      <c r="K16" s="40">
        <f>SUM(Sales!K38,Marketing!K47,IT!K41,HR!K40)</f>
        <v>19499.999999999989</v>
      </c>
      <c r="L16" s="40">
        <f>SUM(Sales!L38,Marketing!L47,IT!L41,HR!L40)</f>
        <v>19499.999999999989</v>
      </c>
      <c r="M16" s="40">
        <f>SUM(Sales!M38,Marketing!M47,IT!M41,HR!M40)</f>
        <v>19824.999999999989</v>
      </c>
      <c r="N16" s="40">
        <f>SUM(Sales!N38,Marketing!N47,IT!N41,HR!N40)</f>
        <v>19933.333333333321</v>
      </c>
      <c r="O16" s="40">
        <f>SUM(Sales!O38,Marketing!O47,IT!O41,HR!O40)</f>
        <v>20149.999999999989</v>
      </c>
      <c r="P16" s="40">
        <f t="shared" si="3"/>
        <v>230858.33333333323</v>
      </c>
      <c r="Q16" s="43">
        <f t="shared" si="4"/>
        <v>3.0966608824441483E-3</v>
      </c>
    </row>
    <row r="17" spans="1:17" ht="17.5" x14ac:dyDescent="0.35">
      <c r="B17" s="3" t="s">
        <v>100</v>
      </c>
      <c r="C17" s="3"/>
      <c r="D17" s="40">
        <f>+Marketing!D55</f>
        <v>469583.33333333308</v>
      </c>
      <c r="E17" s="40">
        <f>+Marketing!E55</f>
        <v>469583.33333333308</v>
      </c>
      <c r="F17" s="40">
        <f>+Marketing!F55</f>
        <v>469583.33333333308</v>
      </c>
      <c r="G17" s="40">
        <f>+Marketing!G55</f>
        <v>469583.33333333308</v>
      </c>
      <c r="H17" s="40">
        <f>+Marketing!H55</f>
        <v>469583.33333333308</v>
      </c>
      <c r="I17" s="40">
        <f>+Marketing!I55</f>
        <v>469583.33333333308</v>
      </c>
      <c r="J17" s="40">
        <f>+Marketing!J55</f>
        <v>469583.33333333308</v>
      </c>
      <c r="K17" s="40">
        <f>+Marketing!K55</f>
        <v>469583.33333333308</v>
      </c>
      <c r="L17" s="40">
        <f>+Marketing!L55</f>
        <v>469583.33333333308</v>
      </c>
      <c r="M17" s="40">
        <f>+Marketing!M55</f>
        <v>469583.33333333308</v>
      </c>
      <c r="N17" s="40">
        <f>+Marketing!N55</f>
        <v>469583.33333333308</v>
      </c>
      <c r="O17" s="40">
        <f>+Marketing!O55</f>
        <v>469583.33333333308</v>
      </c>
      <c r="P17" s="40">
        <f>SUM(D17:O17)</f>
        <v>5634999.9999999972</v>
      </c>
      <c r="Q17" s="43">
        <f>P17/$P$11</f>
        <v>7.5586113009736597E-2</v>
      </c>
    </row>
    <row r="18" spans="1:17" ht="17.5" x14ac:dyDescent="0.35">
      <c r="B18" s="3" t="s">
        <v>101</v>
      </c>
      <c r="C18" s="3"/>
      <c r="D18" s="40">
        <f>Marketing!D63</f>
        <v>97541.666666666599</v>
      </c>
      <c r="E18" s="40">
        <f>Marketing!E63</f>
        <v>97541.666666666599</v>
      </c>
      <c r="F18" s="40">
        <f>Marketing!F63</f>
        <v>97541.666666666599</v>
      </c>
      <c r="G18" s="40">
        <f>Marketing!G63</f>
        <v>97541.666666666599</v>
      </c>
      <c r="H18" s="40">
        <f>Marketing!H63</f>
        <v>97541.666666666599</v>
      </c>
      <c r="I18" s="40">
        <f>Marketing!I63</f>
        <v>97541.666666666599</v>
      </c>
      <c r="J18" s="40">
        <f>Marketing!J63</f>
        <v>97541.666666666599</v>
      </c>
      <c r="K18" s="40">
        <f>Marketing!K63</f>
        <v>97541.666666666599</v>
      </c>
      <c r="L18" s="40">
        <f>Marketing!L63</f>
        <v>97541.666666666599</v>
      </c>
      <c r="M18" s="40">
        <f>Marketing!M63</f>
        <v>97541.666666666599</v>
      </c>
      <c r="N18" s="40">
        <f>Marketing!N63</f>
        <v>97541.666666666599</v>
      </c>
      <c r="O18" s="40">
        <f>Marketing!O63</f>
        <v>97541.666666666599</v>
      </c>
      <c r="P18" s="40">
        <f>SUM(D18:O18)</f>
        <v>1170499.9999999993</v>
      </c>
      <c r="Q18" s="43">
        <f>P18/$P$11</f>
        <v>1.5700717884276252E-2</v>
      </c>
    </row>
    <row r="19" spans="1:17" ht="18" customHeight="1" x14ac:dyDescent="0.35">
      <c r="B19" s="3" t="s">
        <v>93</v>
      </c>
      <c r="C19" s="39"/>
      <c r="D19" s="40">
        <f>IT!D49+IT!D57</f>
        <v>128433.33333333326</v>
      </c>
      <c r="E19" s="40">
        <f>IT!E49+IT!E57</f>
        <v>129199.99999999991</v>
      </c>
      <c r="F19" s="40">
        <f>IT!F49+IT!F57</f>
        <v>129199.99999999991</v>
      </c>
      <c r="G19" s="40">
        <f>IT!G49+IT!G57</f>
        <v>129966.66666666658</v>
      </c>
      <c r="H19" s="40">
        <f>IT!H49+IT!H57</f>
        <v>130349.99999999991</v>
      </c>
      <c r="I19" s="40">
        <f>IT!I49+IT!I57</f>
        <v>131116.6666666666</v>
      </c>
      <c r="J19" s="40">
        <f>IT!J49+IT!J57</f>
        <v>131499.99999999991</v>
      </c>
      <c r="K19" s="40">
        <f>IT!K49+IT!K57</f>
        <v>132266.6666666666</v>
      </c>
      <c r="L19" s="40">
        <f>IT!L49+IT!L57</f>
        <v>132266.6666666666</v>
      </c>
      <c r="M19" s="40">
        <f>IT!M49+IT!M57</f>
        <v>133416.6666666666</v>
      </c>
      <c r="N19" s="40">
        <f>IT!N49+IT!N57</f>
        <v>133799.99999999991</v>
      </c>
      <c r="O19" s="40">
        <f>IT!O49+IT!O57</f>
        <v>134566.6666666666</v>
      </c>
      <c r="P19" s="40">
        <f t="shared" si="3"/>
        <v>1576083.3333333323</v>
      </c>
      <c r="Q19" s="43">
        <f t="shared" si="4"/>
        <v>2.1141084817408284E-2</v>
      </c>
    </row>
    <row r="20" spans="1:17" ht="18" customHeight="1" x14ac:dyDescent="0.35">
      <c r="B20" s="3" t="s">
        <v>142</v>
      </c>
      <c r="C20" s="39"/>
      <c r="D20" s="40">
        <f>+HR!D48</f>
        <v>83958.333333333285</v>
      </c>
      <c r="E20" s="40">
        <f>+HR!E48</f>
        <v>109874.99999999996</v>
      </c>
      <c r="F20" s="40">
        <f>+HR!F48</f>
        <v>84874.999999999956</v>
      </c>
      <c r="G20" s="40">
        <f>+HR!G48</f>
        <v>110791.66666666661</v>
      </c>
      <c r="H20" s="40">
        <f>+HR!H48</f>
        <v>98749.999999999956</v>
      </c>
      <c r="I20" s="40">
        <f>+HR!I48</f>
        <v>112166.66666666661</v>
      </c>
      <c r="J20" s="40">
        <f>+HR!J48</f>
        <v>100124.99999999996</v>
      </c>
      <c r="K20" s="40">
        <f>+HR!K48</f>
        <v>113541.66666666661</v>
      </c>
      <c r="L20" s="40">
        <f>+HR!L48</f>
        <v>88541.666666666613</v>
      </c>
      <c r="M20" s="40">
        <f>+HR!M48</f>
        <v>127416.66666666661</v>
      </c>
      <c r="N20" s="40">
        <f>+HR!N48</f>
        <v>102874.99999999996</v>
      </c>
      <c r="O20" s="40">
        <f>+HR!O48</f>
        <v>116291.66666666661</v>
      </c>
      <c r="P20" s="40">
        <f t="shared" ref="P20" si="5">SUM(D20:O20)</f>
        <v>1249208.3333333328</v>
      </c>
      <c r="Q20" s="43">
        <f t="shared" ref="Q20" si="6">P20/$P$11</f>
        <v>1.675648664703426E-2</v>
      </c>
    </row>
    <row r="21" spans="1:17" ht="18" customHeight="1" x14ac:dyDescent="0.35">
      <c r="A21" s="1"/>
      <c r="B21" s="3" t="s">
        <v>87</v>
      </c>
      <c r="C21" s="15" t="s">
        <v>26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41">
        <f t="shared" si="3"/>
        <v>0</v>
      </c>
      <c r="Q21" s="43">
        <f t="shared" si="4"/>
        <v>0</v>
      </c>
    </row>
    <row r="22" spans="1:17" ht="18" customHeight="1" x14ac:dyDescent="0.4">
      <c r="A22" s="1"/>
      <c r="B22" s="4" t="s">
        <v>62</v>
      </c>
      <c r="C22" s="15"/>
      <c r="D22" s="42">
        <f t="shared" ref="D22:P22" si="7">SUM(D14:D21)</f>
        <v>5711390.8999999994</v>
      </c>
      <c r="E22" s="42">
        <f t="shared" si="7"/>
        <v>1791603.2128333326</v>
      </c>
      <c r="F22" s="42">
        <f t="shared" si="7"/>
        <v>1737430.7967183325</v>
      </c>
      <c r="G22" s="42">
        <f t="shared" si="7"/>
        <v>1804269.0414532153</v>
      </c>
      <c r="H22" s="42">
        <f t="shared" si="7"/>
        <v>1782570.3585301456</v>
      </c>
      <c r="I22" s="42">
        <f t="shared" si="7"/>
        <v>1821960.5151193829</v>
      </c>
      <c r="J22" s="42">
        <f t="shared" si="7"/>
        <v>1799342.8014062981</v>
      </c>
      <c r="K22" s="42">
        <f t="shared" si="7"/>
        <v>1838788.0312818203</v>
      </c>
      <c r="L22" s="42">
        <f t="shared" si="7"/>
        <v>1784776.2097202747</v>
      </c>
      <c r="M22" s="42">
        <f t="shared" si="7"/>
        <v>1884203.2001785499</v>
      </c>
      <c r="N22" s="42">
        <f t="shared" si="7"/>
        <v>1837119.8920172402</v>
      </c>
      <c r="O22" s="42">
        <f t="shared" si="7"/>
        <v>1876685.5346110901</v>
      </c>
      <c r="P22" s="42">
        <f t="shared" si="7"/>
        <v>25670140.493869681</v>
      </c>
      <c r="Q22" s="57">
        <f t="shared" si="4"/>
        <v>0.34433116953779069</v>
      </c>
    </row>
    <row r="23" spans="1:17" ht="18" customHeight="1" x14ac:dyDescent="0.4">
      <c r="A23" s="1"/>
      <c r="B23" s="4"/>
      <c r="C23" s="15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57"/>
    </row>
    <row r="24" spans="1:17" ht="18" customHeight="1" x14ac:dyDescent="0.35">
      <c r="A24" s="1"/>
      <c r="B24" s="14" t="s">
        <v>103</v>
      </c>
      <c r="C24" s="3"/>
      <c r="D24" s="40">
        <f>SUM(Sales!D64,Marketing!D73,IT!D67,HR!D66)</f>
        <v>41666.666666666642</v>
      </c>
      <c r="E24" s="40">
        <f>SUM(Sales!E64,Marketing!E73,IT!E67,HR!E66)</f>
        <v>41666.666666666642</v>
      </c>
      <c r="F24" s="40">
        <f>SUM(Sales!F64,Marketing!F73,IT!F67,HR!F66)</f>
        <v>41666.666666666642</v>
      </c>
      <c r="G24" s="40">
        <f>SUM(Sales!G64,Marketing!G73,IT!G67,HR!G66)</f>
        <v>41666.666666666642</v>
      </c>
      <c r="H24" s="40">
        <f>SUM(Sales!H64,Marketing!H73,IT!H67,HR!H66)</f>
        <v>41666.666666666642</v>
      </c>
      <c r="I24" s="40">
        <f>SUM(Sales!I64,Marketing!I73,IT!I67,HR!I66)</f>
        <v>41666.666666666642</v>
      </c>
      <c r="J24" s="40">
        <f>SUM(Sales!J64,Marketing!J73,IT!J67,HR!J66)</f>
        <v>41666.666666666642</v>
      </c>
      <c r="K24" s="40">
        <f>SUM(Sales!K64,Marketing!K73,IT!K67,HR!K66)</f>
        <v>41666.666666666642</v>
      </c>
      <c r="L24" s="40">
        <f>SUM(Sales!L64,Marketing!L73,IT!L67,HR!L66)</f>
        <v>41666.666666666642</v>
      </c>
      <c r="M24" s="40">
        <f>SUM(Sales!M64,Marketing!M73,IT!M67,HR!M66)</f>
        <v>41666.666666666642</v>
      </c>
      <c r="N24" s="40">
        <f>SUM(Sales!N64,Marketing!N73,IT!N67,HR!N66)</f>
        <v>41666.666666666642</v>
      </c>
      <c r="O24" s="40">
        <f>SUM(Sales!O64,Marketing!O73,IT!O67,HR!O66)</f>
        <v>41666.666666666642</v>
      </c>
      <c r="P24" s="40">
        <f t="shared" ref="P24" si="8">SUM(D24:O24)</f>
        <v>499999.99999999959</v>
      </c>
      <c r="Q24" s="43">
        <f>P24/$P$11</f>
        <v>6.706842325619927E-3</v>
      </c>
    </row>
    <row r="25" spans="1:17" ht="18" customHeight="1" x14ac:dyDescent="0.35">
      <c r="A25" s="1"/>
      <c r="B25" s="14" t="s">
        <v>87</v>
      </c>
      <c r="C25" s="15" t="s">
        <v>26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41">
        <f t="shared" ref="P25" si="9">SUM(D25:O25)</f>
        <v>0</v>
      </c>
      <c r="Q25" s="43">
        <f>P25/$P$11</f>
        <v>0</v>
      </c>
    </row>
    <row r="26" spans="1:17" ht="18" customHeight="1" x14ac:dyDescent="0.4">
      <c r="A26" s="1"/>
      <c r="B26" s="4" t="s">
        <v>105</v>
      </c>
      <c r="C26" s="3"/>
      <c r="D26" s="42">
        <f t="shared" ref="D26:P26" si="10">SUM(D24:D25)</f>
        <v>41666.666666666642</v>
      </c>
      <c r="E26" s="42">
        <f t="shared" si="10"/>
        <v>41666.666666666642</v>
      </c>
      <c r="F26" s="42">
        <f t="shared" si="10"/>
        <v>41666.666666666642</v>
      </c>
      <c r="G26" s="42">
        <f t="shared" si="10"/>
        <v>41666.666666666642</v>
      </c>
      <c r="H26" s="42">
        <f t="shared" si="10"/>
        <v>41666.666666666642</v>
      </c>
      <c r="I26" s="42">
        <f t="shared" si="10"/>
        <v>41666.666666666642</v>
      </c>
      <c r="J26" s="42">
        <f t="shared" si="10"/>
        <v>41666.666666666642</v>
      </c>
      <c r="K26" s="42">
        <f t="shared" si="10"/>
        <v>41666.666666666642</v>
      </c>
      <c r="L26" s="42">
        <f t="shared" si="10"/>
        <v>41666.666666666642</v>
      </c>
      <c r="M26" s="42">
        <f t="shared" si="10"/>
        <v>41666.666666666642</v>
      </c>
      <c r="N26" s="42">
        <f t="shared" si="10"/>
        <v>41666.666666666642</v>
      </c>
      <c r="O26" s="42">
        <f t="shared" si="10"/>
        <v>41666.666666666642</v>
      </c>
      <c r="P26" s="42">
        <f t="shared" si="10"/>
        <v>499999.99999999959</v>
      </c>
      <c r="Q26" s="57">
        <f>P26/$P$11</f>
        <v>6.706842325619927E-3</v>
      </c>
    </row>
    <row r="27" spans="1:17" ht="18" customHeight="1" x14ac:dyDescent="0.4">
      <c r="A27" s="1"/>
      <c r="B27" s="4"/>
      <c r="Q27" s="43"/>
    </row>
    <row r="28" spans="1:17" ht="18" customHeight="1" x14ac:dyDescent="0.4">
      <c r="A28" s="1"/>
      <c r="B28" s="4" t="s">
        <v>119</v>
      </c>
      <c r="D28" s="42">
        <f t="shared" ref="D28:P28" si="11">D11-D26-D22</f>
        <v>-500057.56666666642</v>
      </c>
      <c r="E28" s="42">
        <f t="shared" si="11"/>
        <v>3577320.1205000002</v>
      </c>
      <c r="F28" s="42">
        <f t="shared" si="11"/>
        <v>3793810.2366149998</v>
      </c>
      <c r="G28" s="42">
        <f t="shared" si="11"/>
        <v>3894159.2228801176</v>
      </c>
      <c r="H28" s="42">
        <f t="shared" si="11"/>
        <v>4088060.7537331884</v>
      </c>
      <c r="I28" s="42">
        <f t="shared" si="11"/>
        <v>4226039.5305118514</v>
      </c>
      <c r="J28" s="42">
        <f t="shared" si="11"/>
        <v>4431347.2455938729</v>
      </c>
      <c r="K28" s="42">
        <f t="shared" si="11"/>
        <v>4580072.7171283551</v>
      </c>
      <c r="L28" s="42">
        <f t="shared" si="11"/>
        <v>4827900.361142206</v>
      </c>
      <c r="M28" s="42">
        <f t="shared" si="11"/>
        <v>4928103.6678098068</v>
      </c>
      <c r="N28" s="42">
        <f t="shared" si="11"/>
        <v>5180806.1820107661</v>
      </c>
      <c r="O28" s="42">
        <f t="shared" si="11"/>
        <v>5353028.3216377571</v>
      </c>
      <c r="P28" s="42">
        <f t="shared" si="11"/>
        <v>48380590.792896271</v>
      </c>
      <c r="Q28" s="57">
        <f t="shared" ref="Q28" si="12">P28/$P$11</f>
        <v>0.64896198813658945</v>
      </c>
    </row>
    <row r="29" spans="1:17" ht="17.5" x14ac:dyDescent="0.35">
      <c r="A29" s="1"/>
      <c r="B29" s="53" t="s">
        <v>102</v>
      </c>
      <c r="C29" s="54"/>
      <c r="D29" s="55">
        <f t="shared" ref="D29:P29" si="13">+D28/D11</f>
        <v>-9.519466336696486E-2</v>
      </c>
      <c r="E29" s="55">
        <f t="shared" si="13"/>
        <v>0.66117006102846454</v>
      </c>
      <c r="F29" s="55">
        <f t="shared" si="13"/>
        <v>0.68075956768761847</v>
      </c>
      <c r="G29" s="55">
        <f t="shared" si="13"/>
        <v>0.67841373177458997</v>
      </c>
      <c r="H29" s="55">
        <f t="shared" si="13"/>
        <v>0.69145041515027339</v>
      </c>
      <c r="I29" s="55">
        <f t="shared" si="13"/>
        <v>0.69396893626008949</v>
      </c>
      <c r="J29" s="55">
        <f t="shared" si="13"/>
        <v>0.70648839788375084</v>
      </c>
      <c r="K29" s="55">
        <f t="shared" si="13"/>
        <v>0.70893170524126303</v>
      </c>
      <c r="L29" s="55">
        <f t="shared" si="13"/>
        <v>0.72552619977788735</v>
      </c>
      <c r="M29" s="55">
        <f t="shared" si="13"/>
        <v>0.71901410807794286</v>
      </c>
      <c r="N29" s="55">
        <f t="shared" si="13"/>
        <v>0.73386757172921102</v>
      </c>
      <c r="O29" s="55">
        <f t="shared" si="13"/>
        <v>0.73617771821566291</v>
      </c>
      <c r="P29" s="55">
        <f t="shared" si="13"/>
        <v>0.64896198813658945</v>
      </c>
      <c r="Q29" s="43"/>
    </row>
    <row r="30" spans="1:17" ht="17.5" x14ac:dyDescent="0.35">
      <c r="A30" s="1"/>
      <c r="Q30" s="43"/>
    </row>
    <row r="31" spans="1:17" ht="17.5" x14ac:dyDescent="0.35">
      <c r="A31" s="1"/>
      <c r="B31" s="3" t="s">
        <v>112</v>
      </c>
      <c r="C31" s="1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41">
        <f t="shared" ref="P31" si="14">SUM(D31:O31)</f>
        <v>0</v>
      </c>
      <c r="Q31" s="43">
        <f t="shared" ref="Q31" si="15">P31/$P$11</f>
        <v>0</v>
      </c>
    </row>
    <row r="32" spans="1:17" ht="17.5" x14ac:dyDescent="0.35">
      <c r="A32" s="1"/>
      <c r="B32" s="3" t="s">
        <v>106</v>
      </c>
      <c r="D32" s="40">
        <f>+D28-D31</f>
        <v>-500057.56666666642</v>
      </c>
      <c r="E32" s="40">
        <f t="shared" ref="E32:P32" si="16">+E28-E31</f>
        <v>3577320.1205000002</v>
      </c>
      <c r="F32" s="40">
        <f t="shared" si="16"/>
        <v>3793810.2366149998</v>
      </c>
      <c r="G32" s="40">
        <f t="shared" si="16"/>
        <v>3894159.2228801176</v>
      </c>
      <c r="H32" s="40">
        <f t="shared" si="16"/>
        <v>4088060.7537331884</v>
      </c>
      <c r="I32" s="40">
        <f t="shared" si="16"/>
        <v>4226039.5305118514</v>
      </c>
      <c r="J32" s="40">
        <f t="shared" si="16"/>
        <v>4431347.2455938729</v>
      </c>
      <c r="K32" s="40">
        <f t="shared" si="16"/>
        <v>4580072.7171283551</v>
      </c>
      <c r="L32" s="40">
        <f t="shared" si="16"/>
        <v>4827900.361142206</v>
      </c>
      <c r="M32" s="40">
        <f t="shared" si="16"/>
        <v>4928103.6678098068</v>
      </c>
      <c r="N32" s="40">
        <f t="shared" si="16"/>
        <v>5180806.1820107661</v>
      </c>
      <c r="O32" s="40">
        <f t="shared" si="16"/>
        <v>5353028.3216377571</v>
      </c>
      <c r="P32" s="40">
        <f t="shared" si="16"/>
        <v>48380590.792896271</v>
      </c>
      <c r="Q32" s="58">
        <f t="shared" ref="Q32" si="17">P32/$P$11</f>
        <v>0.64896198813658945</v>
      </c>
    </row>
    <row r="33" spans="1:17" ht="18" x14ac:dyDescent="0.4">
      <c r="A33" s="1"/>
      <c r="B33" s="4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ht="17.5" x14ac:dyDescent="0.35">
      <c r="A34" s="1"/>
      <c r="B34" s="3" t="s">
        <v>113</v>
      </c>
      <c r="C34" s="26">
        <v>0.35</v>
      </c>
      <c r="D34" s="56">
        <f t="shared" ref="D34:O34" si="18">D32*$C$34</f>
        <v>-175020.14833333323</v>
      </c>
      <c r="E34" s="56">
        <f t="shared" si="18"/>
        <v>1252062.0421750001</v>
      </c>
      <c r="F34" s="56">
        <f t="shared" si="18"/>
        <v>1327833.5828152499</v>
      </c>
      <c r="G34" s="56">
        <f t="shared" si="18"/>
        <v>1362955.7280080412</v>
      </c>
      <c r="H34" s="56">
        <f t="shared" si="18"/>
        <v>1430821.263806616</v>
      </c>
      <c r="I34" s="56">
        <f t="shared" si="18"/>
        <v>1479113.8356791479</v>
      </c>
      <c r="J34" s="56">
        <f t="shared" si="18"/>
        <v>1550971.5359578554</v>
      </c>
      <c r="K34" s="56">
        <f t="shared" si="18"/>
        <v>1603025.4509949242</v>
      </c>
      <c r="L34" s="56">
        <f t="shared" si="18"/>
        <v>1689765.126399772</v>
      </c>
      <c r="M34" s="56">
        <f t="shared" si="18"/>
        <v>1724836.2837334322</v>
      </c>
      <c r="N34" s="56">
        <f t="shared" si="18"/>
        <v>1813282.163703768</v>
      </c>
      <c r="O34" s="56">
        <f t="shared" si="18"/>
        <v>1873559.9125732149</v>
      </c>
      <c r="P34" s="41">
        <f t="shared" ref="P34" si="19">SUM(D34:O34)</f>
        <v>16933206.77751369</v>
      </c>
      <c r="Q34" s="43">
        <f t="shared" ref="Q34" si="20">P34/$P$11</f>
        <v>0.22713669584780624</v>
      </c>
    </row>
    <row r="35" spans="1:17" ht="18" x14ac:dyDescent="0.4">
      <c r="A35" s="1"/>
      <c r="B35" s="4" t="s">
        <v>107</v>
      </c>
      <c r="D35" s="42">
        <f>D32-D34</f>
        <v>-325037.41833333322</v>
      </c>
      <c r="E35" s="42">
        <f t="shared" ref="E35:P35" si="21">E32-E34</f>
        <v>2325258.0783250001</v>
      </c>
      <c r="F35" s="42">
        <f t="shared" si="21"/>
        <v>2465976.6537997499</v>
      </c>
      <c r="G35" s="42">
        <f t="shared" si="21"/>
        <v>2531203.4948720764</v>
      </c>
      <c r="H35" s="42">
        <f t="shared" si="21"/>
        <v>2657239.4899265724</v>
      </c>
      <c r="I35" s="42">
        <f t="shared" si="21"/>
        <v>2746925.6948327036</v>
      </c>
      <c r="J35" s="42">
        <f t="shared" si="21"/>
        <v>2880375.7096360177</v>
      </c>
      <c r="K35" s="42">
        <f t="shared" si="21"/>
        <v>2977047.2661334309</v>
      </c>
      <c r="L35" s="42">
        <f t="shared" si="21"/>
        <v>3138135.2347424338</v>
      </c>
      <c r="M35" s="42">
        <f t="shared" si="21"/>
        <v>3203267.3840763746</v>
      </c>
      <c r="N35" s="42">
        <f t="shared" si="21"/>
        <v>3367524.0183069981</v>
      </c>
      <c r="O35" s="42">
        <f t="shared" si="21"/>
        <v>3479468.4090645425</v>
      </c>
      <c r="P35" s="42">
        <f t="shared" si="21"/>
        <v>31447384.01538258</v>
      </c>
      <c r="Q35" s="57">
        <f t="shared" ref="Q35" si="22">P35/$P$11</f>
        <v>0.42182529228878318</v>
      </c>
    </row>
    <row r="36" spans="1:17" ht="15.5" x14ac:dyDescent="0.35">
      <c r="B36" s="53" t="s">
        <v>102</v>
      </c>
      <c r="D36" s="55">
        <f t="shared" ref="D36:P36" si="23">D35/D11</f>
        <v>-6.1876531188527172E-2</v>
      </c>
      <c r="E36" s="55">
        <f t="shared" si="23"/>
        <v>0.42976053966850197</v>
      </c>
      <c r="F36" s="55">
        <f t="shared" si="23"/>
        <v>0.44249371899695206</v>
      </c>
      <c r="G36" s="55">
        <f t="shared" si="23"/>
        <v>0.4409689256534835</v>
      </c>
      <c r="H36" s="55">
        <f t="shared" si="23"/>
        <v>0.44944276984767767</v>
      </c>
      <c r="I36" s="55">
        <f t="shared" si="23"/>
        <v>0.45107980856905822</v>
      </c>
      <c r="J36" s="55">
        <f t="shared" si="23"/>
        <v>0.45921745862443814</v>
      </c>
      <c r="K36" s="55">
        <f t="shared" si="23"/>
        <v>0.460805608406821</v>
      </c>
      <c r="L36" s="55">
        <f t="shared" si="23"/>
        <v>0.47159202985562676</v>
      </c>
      <c r="M36" s="55">
        <f t="shared" si="23"/>
        <v>0.46735917025066287</v>
      </c>
      <c r="N36" s="55">
        <f t="shared" si="23"/>
        <v>0.4770139216239872</v>
      </c>
      <c r="O36" s="55">
        <f t="shared" si="23"/>
        <v>0.47851551684018095</v>
      </c>
      <c r="P36" s="55">
        <f t="shared" si="23"/>
        <v>0.42182529228878318</v>
      </c>
    </row>
  </sheetData>
  <mergeCells count="2">
    <mergeCell ref="B4:Q4"/>
    <mergeCell ref="B2:Q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41AD8-F0F4-41F6-9BAE-E0AB4C4ACA72}">
  <dimension ref="B1:P133"/>
  <sheetViews>
    <sheetView showGridLines="0" zoomScaleNormal="100" workbookViewId="0">
      <pane ySplit="2" topLeftCell="A3" activePane="bottomLeft" state="frozen"/>
      <selection pane="bottomLeft" activeCell="I198" sqref="I198"/>
    </sheetView>
  </sheetViews>
  <sheetFormatPr defaultColWidth="10.81640625" defaultRowHeight="14.5" x14ac:dyDescent="0.35"/>
  <cols>
    <col min="1" max="1" width="3" customWidth="1"/>
    <col min="2" max="2" width="36.1796875" customWidth="1"/>
    <col min="3" max="16" width="16.6328125" customWidth="1"/>
  </cols>
  <sheetData>
    <row r="1" spans="2:16" ht="5" customHeight="1" x14ac:dyDescent="0.35"/>
    <row r="2" spans="2:16" ht="25" customHeight="1" x14ac:dyDescent="0.35">
      <c r="B2" s="75" t="s">
        <v>109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2:16" ht="17.5" customHeight="1" x14ac:dyDescent="0.35">
      <c r="B3" s="78" t="s">
        <v>120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2:16" ht="17.5" customHeight="1" x14ac:dyDescent="0.35">
      <c r="B4" s="6"/>
      <c r="C4" s="3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2:16" ht="17.5" customHeight="1" x14ac:dyDescent="0.35">
      <c r="B5" s="6"/>
      <c r="C5" s="3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16" ht="17.5" customHeight="1" x14ac:dyDescent="0.35">
      <c r="B6" s="6"/>
      <c r="C6" s="3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2:16" ht="17.5" customHeight="1" x14ac:dyDescent="0.35">
      <c r="B7" s="6"/>
      <c r="C7" s="3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2:16" ht="17.5" customHeight="1" x14ac:dyDescent="0.35">
      <c r="B8" s="6"/>
      <c r="C8" s="3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2:16" ht="17.5" customHeight="1" x14ac:dyDescent="0.4">
      <c r="B9" s="4"/>
      <c r="C9" s="3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2:16" ht="17.5" customHeight="1" x14ac:dyDescent="0.35">
      <c r="B10" s="14"/>
      <c r="C10" s="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2:16" ht="17.5" x14ac:dyDescent="0.35">
      <c r="B11" s="14"/>
      <c r="C11" s="3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2:16" ht="17.5" x14ac:dyDescent="0.35">
      <c r="B12" s="14"/>
      <c r="C12" s="1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40"/>
    </row>
    <row r="13" spans="2:16" ht="18" x14ac:dyDescent="0.4">
      <c r="B13" s="4"/>
      <c r="C13" s="3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2:16" ht="18" x14ac:dyDescent="0.4">
      <c r="B14" s="4"/>
      <c r="C14" s="3"/>
      <c r="D14" s="59"/>
      <c r="E14" s="30"/>
      <c r="F14" s="30"/>
      <c r="G14" s="30"/>
      <c r="H14" s="30"/>
      <c r="I14" s="30"/>
      <c r="J14" s="30"/>
      <c r="K14" s="30"/>
      <c r="L14" s="60"/>
      <c r="M14" s="60"/>
      <c r="N14" s="60"/>
      <c r="O14" s="60"/>
      <c r="P14" s="60"/>
    </row>
    <row r="15" spans="2:16" ht="17.5" x14ac:dyDescent="0.35">
      <c r="B15" s="3"/>
      <c r="C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2:16" ht="17.5" x14ac:dyDescent="0.35">
      <c r="B16" s="3"/>
      <c r="C16" s="3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2:16" ht="17.5" x14ac:dyDescent="0.35">
      <c r="B17" s="3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2:16" ht="18" x14ac:dyDescent="0.4">
      <c r="B18" s="3"/>
      <c r="C18" s="7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2:16" ht="18" x14ac:dyDescent="0.4">
      <c r="B19" s="52"/>
      <c r="C19" s="7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2:16" ht="18" customHeight="1" x14ac:dyDescent="0.35">
      <c r="B20" s="3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2:16" ht="18" customHeight="1" x14ac:dyDescent="0.4">
      <c r="B21" s="4"/>
      <c r="C21" s="15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2:16" ht="18" customHeight="1" x14ac:dyDescent="0.4">
      <c r="B22" s="4"/>
      <c r="C22" s="15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2:16" ht="18" customHeight="1" x14ac:dyDescent="0.4">
      <c r="B23" s="4"/>
      <c r="C23" s="15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2:16" ht="18" customHeight="1" x14ac:dyDescent="0.35">
      <c r="B24" s="53"/>
      <c r="C24" s="5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2:16" ht="18" customHeight="1" x14ac:dyDescent="0.4">
      <c r="B25" s="4"/>
    </row>
    <row r="26" spans="2:16" ht="18" customHeight="1" x14ac:dyDescent="0.4">
      <c r="B26" s="4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2:16" ht="15.5" x14ac:dyDescent="0.35">
      <c r="B27" s="53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9" spans="2:16" ht="17.5" x14ac:dyDescent="0.35">
      <c r="B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0"/>
    </row>
    <row r="30" spans="2:16" ht="17.5" x14ac:dyDescent="0.35">
      <c r="B30" s="3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2:16" ht="18" x14ac:dyDescent="0.4">
      <c r="B31" s="4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2:16" ht="17.5" x14ac:dyDescent="0.35">
      <c r="B32" s="3"/>
      <c r="C32" s="26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40"/>
    </row>
    <row r="41" spans="10:15" x14ac:dyDescent="0.35">
      <c r="O41" t="s">
        <v>110</v>
      </c>
    </row>
    <row r="46" spans="10:15" x14ac:dyDescent="0.35">
      <c r="J46" t="s">
        <v>110</v>
      </c>
    </row>
    <row r="85" spans="2:16" ht="25.5" customHeight="1" x14ac:dyDescent="0.35">
      <c r="B85" s="78" t="s">
        <v>121</v>
      </c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</row>
    <row r="86" spans="2:16" ht="18" x14ac:dyDescent="0.4">
      <c r="B86" s="4" t="s">
        <v>153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2:16" ht="18" x14ac:dyDescent="0.4">
      <c r="C87" s="21">
        <f>Consolidated!D5</f>
        <v>45292</v>
      </c>
      <c r="D87" s="21">
        <f>Consolidated!E5</f>
        <v>45323</v>
      </c>
      <c r="E87" s="21">
        <f>Consolidated!F5</f>
        <v>45354</v>
      </c>
      <c r="F87" s="21">
        <f>Consolidated!G5</f>
        <v>45385</v>
      </c>
      <c r="G87" s="21">
        <f>Consolidated!H5</f>
        <v>45416</v>
      </c>
      <c r="H87" s="21">
        <f>Consolidated!I5</f>
        <v>45447</v>
      </c>
      <c r="I87" s="21">
        <f>Consolidated!J5</f>
        <v>45478</v>
      </c>
      <c r="J87" s="21">
        <f>Consolidated!K5</f>
        <v>45509</v>
      </c>
      <c r="K87" s="21">
        <f>Consolidated!L5</f>
        <v>45540</v>
      </c>
      <c r="L87" s="21">
        <f>Consolidated!M5</f>
        <v>45571</v>
      </c>
      <c r="M87" s="21">
        <f>Consolidated!N5</f>
        <v>45602</v>
      </c>
      <c r="N87" s="21">
        <f>Consolidated!O5</f>
        <v>45633</v>
      </c>
      <c r="O87" s="21" t="str">
        <f>Consolidated!P5</f>
        <v>Total</v>
      </c>
      <c r="P87" s="16"/>
    </row>
    <row r="88" spans="2:16" ht="17.5" x14ac:dyDescent="0.35">
      <c r="B88" s="3" t="str">
        <f>Consolidated!B14</f>
        <v>Payroll</v>
      </c>
      <c r="C88" s="40">
        <f>Consolidated!D14</f>
        <v>2246757.333333333</v>
      </c>
      <c r="D88" s="40">
        <f>Consolidated!E14</f>
        <v>877208.4533333329</v>
      </c>
      <c r="E88" s="40">
        <f>Consolidated!F14</f>
        <v>878002.70693333284</v>
      </c>
      <c r="F88" s="40">
        <f>Consolidated!G14</f>
        <v>887220.7881413328</v>
      </c>
      <c r="G88" s="40">
        <f>Consolidated!H14</f>
        <v>891796.74511890626</v>
      </c>
      <c r="H88" s="40">
        <f>Consolidated!I14</f>
        <v>901064.64747247333</v>
      </c>
      <c r="I88" s="40">
        <f>Consolidated!J14</f>
        <v>904758.58689664747</v>
      </c>
      <c r="J88" s="40">
        <f>Consolidated!K14</f>
        <v>914079.34450354706</v>
      </c>
      <c r="K88" s="40">
        <f>Consolidated!L14</f>
        <v>915027.72483865335</v>
      </c>
      <c r="L88" s="40">
        <f>Consolidated!M14</f>
        <v>928137.88991714665</v>
      </c>
      <c r="M88" s="40">
        <f>Consolidated!N14</f>
        <v>934744.0266146611</v>
      </c>
      <c r="N88" s="40">
        <f>Consolidated!O14</f>
        <v>944180.34741310077</v>
      </c>
      <c r="O88" s="40">
        <f>Consolidated!P14</f>
        <v>12222978.594516465</v>
      </c>
      <c r="P88" s="16"/>
    </row>
    <row r="89" spans="2:16" ht="17.5" x14ac:dyDescent="0.35">
      <c r="B89" s="3" t="str">
        <f>Consolidated!B15</f>
        <v>Benefits &amp; Perks</v>
      </c>
      <c r="C89" s="40">
        <f>Consolidated!D15</f>
        <v>2666700.2333333334</v>
      </c>
      <c r="D89" s="40">
        <f>Consolidated!E15</f>
        <v>89561.426166666643</v>
      </c>
      <c r="E89" s="40">
        <f>Consolidated!F15</f>
        <v>59594.756451666646</v>
      </c>
      <c r="F89" s="40">
        <f>Consolidated!G15</f>
        <v>90314.919978549966</v>
      </c>
      <c r="G89" s="40">
        <f>Consolidated!H15</f>
        <v>75590.280077906471</v>
      </c>
      <c r="H89" s="40">
        <f>Consolidated!I15</f>
        <v>91312.534313577009</v>
      </c>
      <c r="I89" s="40">
        <f>Consolidated!J15</f>
        <v>76550.881176317649</v>
      </c>
      <c r="J89" s="40">
        <f>Consolidated!K15</f>
        <v>92275.353444940512</v>
      </c>
      <c r="K89" s="40">
        <f>Consolidated!L15</f>
        <v>62315.151548288719</v>
      </c>
      <c r="L89" s="40">
        <f>Consolidated!M15</f>
        <v>108281.97692807073</v>
      </c>
      <c r="M89" s="40">
        <f>Consolidated!N15</f>
        <v>78642.532069246183</v>
      </c>
      <c r="N89" s="40">
        <f>Consolidated!O15</f>
        <v>94371.853864656878</v>
      </c>
      <c r="O89" s="40">
        <f>Consolidated!P15</f>
        <v>3585511.8993532211</v>
      </c>
      <c r="P89" s="16"/>
    </row>
    <row r="90" spans="2:16" ht="17.5" x14ac:dyDescent="0.35">
      <c r="B90" s="3" t="s">
        <v>45</v>
      </c>
      <c r="C90" s="40">
        <f>Consolidated!D17+Consolidated!D18</f>
        <v>567124.99999999965</v>
      </c>
      <c r="D90" s="40">
        <f>Consolidated!E17+Consolidated!E18</f>
        <v>567124.99999999965</v>
      </c>
      <c r="E90" s="40">
        <f>Consolidated!F17+Consolidated!F18</f>
        <v>567124.99999999965</v>
      </c>
      <c r="F90" s="40">
        <f>Consolidated!G17+Consolidated!G18</f>
        <v>567124.99999999965</v>
      </c>
      <c r="G90" s="40">
        <f>Consolidated!H17+Consolidated!H18</f>
        <v>567124.99999999965</v>
      </c>
      <c r="H90" s="40">
        <f>Consolidated!I17+Consolidated!I18</f>
        <v>567124.99999999965</v>
      </c>
      <c r="I90" s="40">
        <f>Consolidated!J17+Consolidated!J18</f>
        <v>567124.99999999965</v>
      </c>
      <c r="J90" s="40">
        <f>Consolidated!K17+Consolidated!K18</f>
        <v>567124.99999999965</v>
      </c>
      <c r="K90" s="40">
        <f>Consolidated!L17+Consolidated!L18</f>
        <v>567124.99999999965</v>
      </c>
      <c r="L90" s="40">
        <f>Consolidated!M17+Consolidated!M18</f>
        <v>567124.99999999965</v>
      </c>
      <c r="M90" s="40">
        <f>Consolidated!N17+Consolidated!N18</f>
        <v>567124.99999999965</v>
      </c>
      <c r="N90" s="40">
        <f>Consolidated!O17+Consolidated!O18</f>
        <v>567124.99999999965</v>
      </c>
      <c r="O90" s="40">
        <f>Consolidated!P17+Consolidated!P18</f>
        <v>6805499.9999999963</v>
      </c>
      <c r="P90" s="16"/>
    </row>
    <row r="91" spans="2:16" ht="17.5" x14ac:dyDescent="0.35">
      <c r="B91" s="3" t="str">
        <f>Consolidated!B19</f>
        <v>Hardware &amp; Software</v>
      </c>
      <c r="C91" s="40">
        <f>Consolidated!D19</f>
        <v>128433.33333333326</v>
      </c>
      <c r="D91" s="40">
        <f>Consolidated!E19</f>
        <v>129199.99999999991</v>
      </c>
      <c r="E91" s="40">
        <f>Consolidated!F19</f>
        <v>129199.99999999991</v>
      </c>
      <c r="F91" s="40">
        <f>Consolidated!G19</f>
        <v>129966.66666666658</v>
      </c>
      <c r="G91" s="40">
        <f>Consolidated!H19</f>
        <v>130349.99999999991</v>
      </c>
      <c r="H91" s="40">
        <f>Consolidated!I19</f>
        <v>131116.6666666666</v>
      </c>
      <c r="I91" s="40">
        <f>Consolidated!J19</f>
        <v>131499.99999999991</v>
      </c>
      <c r="J91" s="40">
        <f>Consolidated!K19</f>
        <v>132266.6666666666</v>
      </c>
      <c r="K91" s="40">
        <f>Consolidated!L19</f>
        <v>132266.6666666666</v>
      </c>
      <c r="L91" s="40">
        <f>Consolidated!M19</f>
        <v>133416.6666666666</v>
      </c>
      <c r="M91" s="40">
        <f>Consolidated!N19</f>
        <v>133799.99999999991</v>
      </c>
      <c r="N91" s="40">
        <f>Consolidated!O19</f>
        <v>134566.6666666666</v>
      </c>
      <c r="O91" s="40">
        <f>Consolidated!P19</f>
        <v>1576083.3333333323</v>
      </c>
      <c r="P91" s="16"/>
    </row>
    <row r="92" spans="2:16" ht="17.5" x14ac:dyDescent="0.35">
      <c r="B92" s="3" t="s">
        <v>2</v>
      </c>
      <c r="C92" s="41">
        <f>SUM(Consolidated!D20:D21,Consolidated!D26,Consolidated!D16)</f>
        <v>144041.66666666657</v>
      </c>
      <c r="D92" s="41">
        <f>SUM(Consolidated!E20:E21,Consolidated!E26,Consolidated!E16)</f>
        <v>170174.99999999991</v>
      </c>
      <c r="E92" s="41">
        <f>SUM(Consolidated!F20:F21,Consolidated!F26,Consolidated!F16)</f>
        <v>145174.99999999991</v>
      </c>
      <c r="F92" s="41">
        <f>SUM(Consolidated!G20:G21,Consolidated!G26,Consolidated!G16)</f>
        <v>171308.33333333326</v>
      </c>
      <c r="G92" s="41">
        <f>SUM(Consolidated!H20:H21,Consolidated!H26,Consolidated!H16)</f>
        <v>159374.99999999991</v>
      </c>
      <c r="H92" s="41">
        <f>SUM(Consolidated!I20:I21,Consolidated!I26,Consolidated!I16)</f>
        <v>173008.33333333326</v>
      </c>
      <c r="I92" s="41">
        <f>SUM(Consolidated!J20:J21,Consolidated!J26,Consolidated!J16)</f>
        <v>161074.99999999991</v>
      </c>
      <c r="J92" s="41">
        <f>SUM(Consolidated!K20:K21,Consolidated!K26,Consolidated!K16)</f>
        <v>174708.33333333326</v>
      </c>
      <c r="K92" s="41">
        <f>SUM(Consolidated!L20:L21,Consolidated!L26,Consolidated!L16)</f>
        <v>149708.33333333326</v>
      </c>
      <c r="L92" s="41">
        <f>SUM(Consolidated!M20:M21,Consolidated!M26,Consolidated!M16)</f>
        <v>188908.33333333326</v>
      </c>
      <c r="M92" s="41">
        <f>SUM(Consolidated!N20:N21,Consolidated!N26,Consolidated!N16)</f>
        <v>164474.99999999991</v>
      </c>
      <c r="N92" s="41">
        <f>SUM(Consolidated!O20:O21,Consolidated!O26,Consolidated!O16)</f>
        <v>178108.33333333326</v>
      </c>
      <c r="O92" s="41">
        <f>SUM(Consolidated!P20:P21,Consolidated!P26,Consolidated!P16)</f>
        <v>1980066.6666666656</v>
      </c>
      <c r="P92" s="16"/>
    </row>
    <row r="93" spans="2:16" ht="18" x14ac:dyDescent="0.35">
      <c r="B93" s="3" t="s">
        <v>16</v>
      </c>
      <c r="C93" s="37">
        <f t="shared" ref="C93:O93" si="0">SUM(C88:C92)</f>
        <v>5753057.5666666664</v>
      </c>
      <c r="D93" s="37">
        <f t="shared" si="0"/>
        <v>1833269.8794999993</v>
      </c>
      <c r="E93" s="37">
        <f t="shared" si="0"/>
        <v>1779097.463384999</v>
      </c>
      <c r="F93" s="37">
        <f t="shared" si="0"/>
        <v>1845935.708119882</v>
      </c>
      <c r="G93" s="37">
        <f t="shared" si="0"/>
        <v>1824237.0251968123</v>
      </c>
      <c r="H93" s="37">
        <f t="shared" si="0"/>
        <v>1863627.1817860499</v>
      </c>
      <c r="I93" s="37">
        <f t="shared" si="0"/>
        <v>1841009.4680729648</v>
      </c>
      <c r="J93" s="37">
        <f t="shared" si="0"/>
        <v>1880454.697948487</v>
      </c>
      <c r="K93" s="37">
        <f t="shared" si="0"/>
        <v>1826442.8763869416</v>
      </c>
      <c r="L93" s="37">
        <f t="shared" si="0"/>
        <v>1925869.8668452168</v>
      </c>
      <c r="M93" s="37">
        <f t="shared" si="0"/>
        <v>1878786.5586839069</v>
      </c>
      <c r="N93" s="37">
        <f t="shared" si="0"/>
        <v>1918352.2012777571</v>
      </c>
      <c r="O93" s="37">
        <f t="shared" si="0"/>
        <v>26170140.493869681</v>
      </c>
      <c r="P93" s="16"/>
    </row>
    <row r="94" spans="2:16" ht="17.5" x14ac:dyDescent="0.35">
      <c r="C94" s="40">
        <f>+C93-SUM(Consolidated!D26,Consolidated!D22)</f>
        <v>0</v>
      </c>
      <c r="D94" s="40">
        <f>+D93-SUM(Consolidated!E26,Consolidated!E22)</f>
        <v>0</v>
      </c>
      <c r="E94" s="40">
        <f>+E93-SUM(Consolidated!F26,Consolidated!F22)</f>
        <v>0</v>
      </c>
      <c r="F94" s="40">
        <f>+F93-SUM(Consolidated!G26,Consolidated!G22)</f>
        <v>0</v>
      </c>
      <c r="G94" s="40">
        <f>+G93-SUM(Consolidated!H26,Consolidated!H22)</f>
        <v>0</v>
      </c>
      <c r="H94" s="40">
        <f>+H93-SUM(Consolidated!I26,Consolidated!I22)</f>
        <v>0</v>
      </c>
      <c r="I94" s="40">
        <f>+I93-SUM(Consolidated!J26,Consolidated!J22)</f>
        <v>0</v>
      </c>
      <c r="J94" s="40">
        <f>+J93-SUM(Consolidated!K26,Consolidated!K22)</f>
        <v>0</v>
      </c>
      <c r="K94" s="40">
        <f>+K93-SUM(Consolidated!L26,Consolidated!L22)</f>
        <v>0</v>
      </c>
      <c r="L94" s="40">
        <f>+L93-SUM(Consolidated!M26,Consolidated!M22)</f>
        <v>0</v>
      </c>
      <c r="M94" s="40">
        <f>+M93-SUM(Consolidated!N26,Consolidated!N22)</f>
        <v>0</v>
      </c>
      <c r="N94" s="40">
        <f>+N93-SUM(Consolidated!O26,Consolidated!O22)</f>
        <v>0</v>
      </c>
      <c r="O94" s="40">
        <f>+O93-SUM(Consolidated!P26,Consolidated!P22)</f>
        <v>0</v>
      </c>
      <c r="P94" s="16"/>
    </row>
    <row r="95" spans="2:16" ht="18" x14ac:dyDescent="0.4">
      <c r="C95" s="21">
        <f t="shared" ref="C95:O95" si="1">C87</f>
        <v>45292</v>
      </c>
      <c r="D95" s="21">
        <f t="shared" si="1"/>
        <v>45323</v>
      </c>
      <c r="E95" s="21">
        <f t="shared" si="1"/>
        <v>45354</v>
      </c>
      <c r="F95" s="21">
        <f t="shared" si="1"/>
        <v>45385</v>
      </c>
      <c r="G95" s="21">
        <f t="shared" si="1"/>
        <v>45416</v>
      </c>
      <c r="H95" s="21">
        <f t="shared" si="1"/>
        <v>45447</v>
      </c>
      <c r="I95" s="21">
        <f t="shared" si="1"/>
        <v>45478</v>
      </c>
      <c r="J95" s="21">
        <f t="shared" si="1"/>
        <v>45509</v>
      </c>
      <c r="K95" s="21">
        <f t="shared" si="1"/>
        <v>45540</v>
      </c>
      <c r="L95" s="21">
        <f t="shared" si="1"/>
        <v>45571</v>
      </c>
      <c r="M95" s="21">
        <f t="shared" si="1"/>
        <v>45602</v>
      </c>
      <c r="N95" s="21">
        <f t="shared" si="1"/>
        <v>45633</v>
      </c>
      <c r="O95" s="21" t="str">
        <f t="shared" si="1"/>
        <v>Total</v>
      </c>
      <c r="P95" s="16"/>
    </row>
    <row r="96" spans="2:16" ht="17.5" x14ac:dyDescent="0.35">
      <c r="B96" s="3" t="str">
        <f t="shared" ref="B96:B101" si="2">+B88</f>
        <v>Payroll</v>
      </c>
      <c r="C96" s="49">
        <f t="shared" ref="C96:O96" si="3">C88/C$93</f>
        <v>0.39053273972975538</v>
      </c>
      <c r="D96" s="49">
        <f t="shared" si="3"/>
        <v>0.47849389942116988</v>
      </c>
      <c r="E96" s="49">
        <f t="shared" si="3"/>
        <v>0.49351017861764662</v>
      </c>
      <c r="F96" s="49">
        <f t="shared" si="3"/>
        <v>0.48063471779576916</v>
      </c>
      <c r="G96" s="49">
        <f t="shared" si="3"/>
        <v>0.48886012771432075</v>
      </c>
      <c r="H96" s="49">
        <f t="shared" si="3"/>
        <v>0.48350048565449522</v>
      </c>
      <c r="I96" s="49">
        <f t="shared" si="3"/>
        <v>0.49144700371567512</v>
      </c>
      <c r="J96" s="49">
        <f t="shared" si="3"/>
        <v>0.48609485009172354</v>
      </c>
      <c r="K96" s="49">
        <f t="shared" si="3"/>
        <v>0.50098896421483252</v>
      </c>
      <c r="L96" s="49">
        <f t="shared" si="3"/>
        <v>0.48193177841114304</v>
      </c>
      <c r="M96" s="49">
        <f t="shared" si="3"/>
        <v>0.49752539600317924</v>
      </c>
      <c r="N96" s="49">
        <f t="shared" si="3"/>
        <v>0.49218300309203411</v>
      </c>
      <c r="O96" s="49">
        <f t="shared" si="3"/>
        <v>0.46705819547967964</v>
      </c>
      <c r="P96" s="16"/>
    </row>
    <row r="97" spans="2:16" ht="17.5" x14ac:dyDescent="0.35">
      <c r="B97" s="3" t="str">
        <f t="shared" si="2"/>
        <v>Benefits &amp; Perks</v>
      </c>
      <c r="C97" s="49">
        <f t="shared" ref="C97:O97" si="4">C89/C$93</f>
        <v>0.46352747255376847</v>
      </c>
      <c r="D97" s="49">
        <f t="shared" si="4"/>
        <v>4.8853377873144005E-2</v>
      </c>
      <c r="E97" s="49">
        <f t="shared" si="4"/>
        <v>3.3497184768213152E-2</v>
      </c>
      <c r="F97" s="49">
        <f t="shared" si="4"/>
        <v>4.8926362701189254E-2</v>
      </c>
      <c r="G97" s="49">
        <f t="shared" si="4"/>
        <v>4.1436654904946482E-2</v>
      </c>
      <c r="H97" s="49">
        <f t="shared" si="4"/>
        <v>4.8997211033413639E-2</v>
      </c>
      <c r="I97" s="49">
        <f t="shared" si="4"/>
        <v>4.1580927476948588E-2</v>
      </c>
      <c r="J97" s="49">
        <f t="shared" si="4"/>
        <v>4.9070766525569492E-2</v>
      </c>
      <c r="K97" s="49">
        <f t="shared" si="4"/>
        <v>3.4118313993788944E-2</v>
      </c>
      <c r="L97" s="49">
        <f t="shared" si="4"/>
        <v>5.6224970748126567E-2</v>
      </c>
      <c r="M97" s="49">
        <f t="shared" si="4"/>
        <v>4.1858151318867963E-2</v>
      </c>
      <c r="N97" s="49">
        <f t="shared" si="4"/>
        <v>4.9194227108973317E-2</v>
      </c>
      <c r="O97" s="49">
        <f t="shared" si="4"/>
        <v>0.13700774362266502</v>
      </c>
      <c r="P97" s="16"/>
    </row>
    <row r="98" spans="2:16" ht="17.5" x14ac:dyDescent="0.35">
      <c r="B98" s="3" t="str">
        <f t="shared" si="2"/>
        <v>Marketing</v>
      </c>
      <c r="C98" s="49">
        <f t="shared" ref="C98:O98" si="5">C90/C$93</f>
        <v>9.8578015851246398E-2</v>
      </c>
      <c r="D98" s="49">
        <f t="shared" si="5"/>
        <v>0.30935161611594014</v>
      </c>
      <c r="E98" s="49">
        <f t="shared" si="5"/>
        <v>0.31877118127129445</v>
      </c>
      <c r="F98" s="49">
        <f t="shared" si="5"/>
        <v>0.30722900992994301</v>
      </c>
      <c r="G98" s="49">
        <f t="shared" si="5"/>
        <v>0.31088339517657471</v>
      </c>
      <c r="H98" s="49">
        <f t="shared" si="5"/>
        <v>0.30431247491061081</v>
      </c>
      <c r="I98" s="49">
        <f t="shared" si="5"/>
        <v>0.30805110448107853</v>
      </c>
      <c r="J98" s="49">
        <f t="shared" si="5"/>
        <v>0.30158929147227742</v>
      </c>
      <c r="K98" s="49">
        <f t="shared" si="5"/>
        <v>0.31050793174647923</v>
      </c>
      <c r="L98" s="49">
        <f t="shared" si="5"/>
        <v>0.29447732152796585</v>
      </c>
      <c r="M98" s="49">
        <f t="shared" si="5"/>
        <v>0.30185706693434705</v>
      </c>
      <c r="N98" s="49">
        <f t="shared" si="5"/>
        <v>0.29563132339424147</v>
      </c>
      <c r="O98" s="49">
        <f t="shared" si="5"/>
        <v>0.26004827912919209</v>
      </c>
      <c r="P98" s="16"/>
    </row>
    <row r="99" spans="2:16" ht="17.5" x14ac:dyDescent="0.35">
      <c r="B99" s="3" t="str">
        <f t="shared" si="2"/>
        <v>Hardware &amp; Software</v>
      </c>
      <c r="C99" s="49">
        <f t="shared" ref="C99:O99" si="6">C91/C$93</f>
        <v>2.232436088897817E-2</v>
      </c>
      <c r="D99" s="49">
        <f t="shared" si="6"/>
        <v>7.0475166501528699E-2</v>
      </c>
      <c r="E99" s="49">
        <f t="shared" si="6"/>
        <v>7.2621091682171027E-2</v>
      </c>
      <c r="F99" s="49">
        <f t="shared" si="6"/>
        <v>7.0406930260339298E-2</v>
      </c>
      <c r="G99" s="49">
        <f t="shared" si="6"/>
        <v>7.1454530414399836E-2</v>
      </c>
      <c r="H99" s="49">
        <f t="shared" si="6"/>
        <v>7.0355631184241443E-2</v>
      </c>
      <c r="I99" s="49">
        <f t="shared" si="6"/>
        <v>7.1428204080690894E-2</v>
      </c>
      <c r="J99" s="49">
        <f t="shared" si="6"/>
        <v>7.0337598034648272E-2</v>
      </c>
      <c r="K99" s="49">
        <f t="shared" si="6"/>
        <v>7.2417631220044354E-2</v>
      </c>
      <c r="L99" s="49">
        <f t="shared" si="6"/>
        <v>6.9276054921206864E-2</v>
      </c>
      <c r="M99" s="49">
        <f t="shared" si="6"/>
        <v>7.1216179071308144E-2</v>
      </c>
      <c r="N99" s="49">
        <f t="shared" si="6"/>
        <v>7.0147007716849785E-2</v>
      </c>
      <c r="O99" s="49">
        <f t="shared" si="6"/>
        <v>6.0224488810158572E-2</v>
      </c>
      <c r="P99" s="16"/>
    </row>
    <row r="100" spans="2:16" ht="17.5" x14ac:dyDescent="0.35">
      <c r="B100" s="3" t="str">
        <f t="shared" si="2"/>
        <v>Other</v>
      </c>
      <c r="C100" s="62">
        <f t="shared" ref="C100:O100" si="7">C92/C$93</f>
        <v>2.5037410976251472E-2</v>
      </c>
      <c r="D100" s="62">
        <f t="shared" si="7"/>
        <v>9.2825940088217096E-2</v>
      </c>
      <c r="E100" s="62">
        <f t="shared" si="7"/>
        <v>8.160036366067476E-2</v>
      </c>
      <c r="F100" s="62">
        <f t="shared" si="7"/>
        <v>9.2802979312759382E-2</v>
      </c>
      <c r="G100" s="62">
        <f t="shared" si="7"/>
        <v>8.7365291789758159E-2</v>
      </c>
      <c r="H100" s="62">
        <f t="shared" si="7"/>
        <v>9.2834197217238887E-2</v>
      </c>
      <c r="I100" s="62">
        <f t="shared" si="7"/>
        <v>8.7492760245606746E-2</v>
      </c>
      <c r="J100" s="62">
        <f t="shared" si="7"/>
        <v>9.2907493875781316E-2</v>
      </c>
      <c r="K100" s="62">
        <f t="shared" si="7"/>
        <v>8.1967158824854891E-2</v>
      </c>
      <c r="L100" s="62">
        <f t="shared" si="7"/>
        <v>9.8089874391557696E-2</v>
      </c>
      <c r="M100" s="62">
        <f t="shared" si="7"/>
        <v>8.7543206672297535E-2</v>
      </c>
      <c r="N100" s="62">
        <f t="shared" si="7"/>
        <v>9.2844438687901321E-2</v>
      </c>
      <c r="O100" s="62">
        <f t="shared" si="7"/>
        <v>7.5661292958304649E-2</v>
      </c>
      <c r="P100" s="16"/>
    </row>
    <row r="101" spans="2:16" ht="18" x14ac:dyDescent="0.4">
      <c r="B101" s="4" t="str">
        <f t="shared" si="2"/>
        <v>Total</v>
      </c>
      <c r="C101" s="73">
        <f t="shared" ref="C101:O101" si="8">SUM(C96:C100)</f>
        <v>0.99999999999999989</v>
      </c>
      <c r="D101" s="73">
        <f t="shared" si="8"/>
        <v>0.99999999999999978</v>
      </c>
      <c r="E101" s="73">
        <f t="shared" si="8"/>
        <v>1</v>
      </c>
      <c r="F101" s="73">
        <f t="shared" si="8"/>
        <v>1</v>
      </c>
      <c r="G101" s="73">
        <f t="shared" si="8"/>
        <v>1</v>
      </c>
      <c r="H101" s="73">
        <f t="shared" si="8"/>
        <v>1</v>
      </c>
      <c r="I101" s="73">
        <f t="shared" si="8"/>
        <v>0.99999999999999989</v>
      </c>
      <c r="J101" s="73">
        <f t="shared" si="8"/>
        <v>1</v>
      </c>
      <c r="K101" s="73">
        <f t="shared" si="8"/>
        <v>1</v>
      </c>
      <c r="L101" s="73">
        <f t="shared" si="8"/>
        <v>1</v>
      </c>
      <c r="M101" s="73">
        <f t="shared" si="8"/>
        <v>0.99999999999999989</v>
      </c>
      <c r="N101" s="73">
        <f t="shared" si="8"/>
        <v>1</v>
      </c>
      <c r="O101" s="73">
        <f t="shared" si="8"/>
        <v>1</v>
      </c>
      <c r="P101" s="16"/>
    </row>
    <row r="102" spans="2:16" ht="18" x14ac:dyDescent="0.4">
      <c r="B102" s="4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2:16" ht="18" x14ac:dyDescent="0.4">
      <c r="B103" s="4" t="s">
        <v>111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2:16" ht="18" x14ac:dyDescent="0.4">
      <c r="C104" s="21">
        <f t="shared" ref="C104:O104" si="9">+C95</f>
        <v>45292</v>
      </c>
      <c r="D104" s="21">
        <f t="shared" si="9"/>
        <v>45323</v>
      </c>
      <c r="E104" s="21">
        <f t="shared" si="9"/>
        <v>45354</v>
      </c>
      <c r="F104" s="21">
        <f t="shared" si="9"/>
        <v>45385</v>
      </c>
      <c r="G104" s="21">
        <f t="shared" si="9"/>
        <v>45416</v>
      </c>
      <c r="H104" s="21">
        <f t="shared" si="9"/>
        <v>45447</v>
      </c>
      <c r="I104" s="21">
        <f t="shared" si="9"/>
        <v>45478</v>
      </c>
      <c r="J104" s="21">
        <f t="shared" si="9"/>
        <v>45509</v>
      </c>
      <c r="K104" s="21">
        <f t="shared" si="9"/>
        <v>45540</v>
      </c>
      <c r="L104" s="21">
        <f t="shared" si="9"/>
        <v>45571</v>
      </c>
      <c r="M104" s="21">
        <f t="shared" si="9"/>
        <v>45602</v>
      </c>
      <c r="N104" s="21">
        <f t="shared" si="9"/>
        <v>45633</v>
      </c>
      <c r="O104" s="21" t="str">
        <f t="shared" si="9"/>
        <v>Total</v>
      </c>
      <c r="P104" s="16"/>
    </row>
    <row r="105" spans="2:16" ht="17.5" x14ac:dyDescent="0.35">
      <c r="B105" s="3" t="s">
        <v>11</v>
      </c>
      <c r="C105" s="40">
        <f>Sales!D66</f>
        <v>1048516.6499999999</v>
      </c>
      <c r="D105" s="40">
        <f>Sales!E66</f>
        <v>290846.12949999986</v>
      </c>
      <c r="E105" s="40">
        <f>Sales!F66</f>
        <v>261673.71338499989</v>
      </c>
      <c r="F105" s="40">
        <f>Sales!G66</f>
        <v>301828.62478654983</v>
      </c>
      <c r="G105" s="40">
        <f>Sales!H66</f>
        <v>272706.60853014642</v>
      </c>
      <c r="H105" s="40">
        <f>Sales!I66</f>
        <v>312913.43178605079</v>
      </c>
      <c r="I105" s="40">
        <f>Sales!J66</f>
        <v>283844.88473963225</v>
      </c>
      <c r="J105" s="40">
        <f>Sales!K66</f>
        <v>324106.78128182131</v>
      </c>
      <c r="K105" s="40">
        <f>Sales!L66</f>
        <v>295094.95972027589</v>
      </c>
      <c r="L105" s="40">
        <f>Sales!M66</f>
        <v>335415.28351188434</v>
      </c>
      <c r="M105" s="40">
        <f>Sales!N66</f>
        <v>306463.64201724087</v>
      </c>
      <c r="N105" s="40">
        <f>Sales!O66</f>
        <v>346845.95127775794</v>
      </c>
      <c r="O105" s="40">
        <f>Sales!P66</f>
        <v>4380256.6605363591</v>
      </c>
      <c r="P105" s="16"/>
    </row>
    <row r="106" spans="2:16" ht="17.5" x14ac:dyDescent="0.35">
      <c r="B106" s="3" t="s">
        <v>45</v>
      </c>
      <c r="C106" s="40">
        <f>Marketing!D75</f>
        <v>3219186.8333333326</v>
      </c>
      <c r="D106" s="40">
        <f>Marketing!E75</f>
        <v>1049168.3333333328</v>
      </c>
      <c r="E106" s="40">
        <f>Marketing!F75</f>
        <v>1049168.3333333328</v>
      </c>
      <c r="F106" s="40">
        <f>Marketing!G75</f>
        <v>1049168.3333333328</v>
      </c>
      <c r="G106" s="40">
        <f>Marketing!H75</f>
        <v>1049168.3333333328</v>
      </c>
      <c r="H106" s="40">
        <f>Marketing!I75</f>
        <v>1049168.3333333328</v>
      </c>
      <c r="I106" s="40">
        <f>Marketing!J75</f>
        <v>1049168.3333333328</v>
      </c>
      <c r="J106" s="40">
        <f>Marketing!K75</f>
        <v>1049168.3333333328</v>
      </c>
      <c r="K106" s="40">
        <f>Marketing!L75</f>
        <v>1049168.3333333328</v>
      </c>
      <c r="L106" s="40">
        <f>Marketing!M75</f>
        <v>1049168.3333333328</v>
      </c>
      <c r="M106" s="40">
        <f>Marketing!N75</f>
        <v>1049168.3333333328</v>
      </c>
      <c r="N106" s="40">
        <f>Marketing!O75</f>
        <v>1049168.3333333328</v>
      </c>
      <c r="O106" s="40">
        <f>Marketing!P75</f>
        <v>14760038.499999993</v>
      </c>
      <c r="P106" s="16"/>
    </row>
    <row r="107" spans="2:16" ht="17.5" x14ac:dyDescent="0.35">
      <c r="B107" s="3" t="s">
        <v>74</v>
      </c>
      <c r="C107" s="40">
        <f>IT!D69</f>
        <v>707701.66666666651</v>
      </c>
      <c r="D107" s="40">
        <f>IT!E69</f>
        <v>260088.3333333332</v>
      </c>
      <c r="E107" s="40">
        <f>IT!F69</f>
        <v>260088.3333333332</v>
      </c>
      <c r="F107" s="40">
        <f>IT!G69</f>
        <v>260854.99999999988</v>
      </c>
      <c r="G107" s="40">
        <f>IT!H69</f>
        <v>280319.99999999988</v>
      </c>
      <c r="H107" s="40">
        <f>IT!I69</f>
        <v>266086.66666666651</v>
      </c>
      <c r="I107" s="40">
        <f>IT!J69</f>
        <v>284579.16666666651</v>
      </c>
      <c r="J107" s="40">
        <f>IT!K69</f>
        <v>270345.8333333332</v>
      </c>
      <c r="K107" s="40">
        <f>IT!L69</f>
        <v>270345.8333333332</v>
      </c>
      <c r="L107" s="40">
        <f>IT!M69</f>
        <v>290577.49999999983</v>
      </c>
      <c r="M107" s="40">
        <f>IT!N69</f>
        <v>296987.49999999988</v>
      </c>
      <c r="N107" s="40">
        <f>IT!O69</f>
        <v>282754.16666666651</v>
      </c>
      <c r="O107" s="40">
        <f>IT!P69</f>
        <v>3730729.9999999986</v>
      </c>
      <c r="P107" s="16"/>
    </row>
    <row r="108" spans="2:16" ht="17.5" x14ac:dyDescent="0.35">
      <c r="B108" s="3" t="s">
        <v>69</v>
      </c>
      <c r="C108" s="40">
        <f>HR!D68</f>
        <v>777652.41666666663</v>
      </c>
      <c r="D108" s="40">
        <f>HR!E68</f>
        <v>233167.08333333323</v>
      </c>
      <c r="E108" s="40">
        <f>HR!F68</f>
        <v>208167.08333333323</v>
      </c>
      <c r="F108" s="40">
        <f>HR!G68</f>
        <v>234083.74999999988</v>
      </c>
      <c r="G108" s="40">
        <f>HR!H68</f>
        <v>222042.08333333323</v>
      </c>
      <c r="H108" s="40">
        <f>HR!I68</f>
        <v>235458.74999999988</v>
      </c>
      <c r="I108" s="40">
        <f>HR!J68</f>
        <v>223417.08333333323</v>
      </c>
      <c r="J108" s="40">
        <f>HR!K68</f>
        <v>236833.74999999988</v>
      </c>
      <c r="K108" s="40">
        <f>HR!L68</f>
        <v>211833.74999999988</v>
      </c>
      <c r="L108" s="40">
        <f>HR!M68</f>
        <v>250708.74999999988</v>
      </c>
      <c r="M108" s="40">
        <f>HR!N68</f>
        <v>226167.08333333323</v>
      </c>
      <c r="N108" s="40">
        <f>HR!O68</f>
        <v>239583.74999999988</v>
      </c>
      <c r="O108" s="40">
        <f>HR!P68</f>
        <v>3299115.3333333321</v>
      </c>
      <c r="P108" s="16"/>
    </row>
    <row r="109" spans="2:16" ht="17.5" x14ac:dyDescent="0.35">
      <c r="B109" s="3" t="str">
        <f>Consolidated!B25</f>
        <v>Central</v>
      </c>
      <c r="C109" s="41">
        <f>Consolidated!D25+Consolidated!D21</f>
        <v>0</v>
      </c>
      <c r="D109" s="41">
        <f>Consolidated!E25+Consolidated!E21</f>
        <v>0</v>
      </c>
      <c r="E109" s="41">
        <f>Consolidated!F25+Consolidated!F21</f>
        <v>0</v>
      </c>
      <c r="F109" s="41">
        <f>Consolidated!G25+Consolidated!G21</f>
        <v>0</v>
      </c>
      <c r="G109" s="41">
        <f>Consolidated!H25+Consolidated!H21</f>
        <v>0</v>
      </c>
      <c r="H109" s="41">
        <f>Consolidated!I25+Consolidated!I21</f>
        <v>0</v>
      </c>
      <c r="I109" s="41">
        <f>Consolidated!J25+Consolidated!J21</f>
        <v>0</v>
      </c>
      <c r="J109" s="41">
        <f>Consolidated!K25+Consolidated!K21</f>
        <v>0</v>
      </c>
      <c r="K109" s="41">
        <f>Consolidated!L25+Consolidated!L21</f>
        <v>0</v>
      </c>
      <c r="L109" s="41">
        <f>Consolidated!M25+Consolidated!M21</f>
        <v>0</v>
      </c>
      <c r="M109" s="41">
        <f>Consolidated!N25+Consolidated!N21</f>
        <v>0</v>
      </c>
      <c r="N109" s="41">
        <f>Consolidated!O25+Consolidated!O21</f>
        <v>0</v>
      </c>
      <c r="O109" s="41">
        <f>Consolidated!P25+Consolidated!P21</f>
        <v>0</v>
      </c>
      <c r="P109" s="16"/>
    </row>
    <row r="110" spans="2:16" ht="18" x14ac:dyDescent="0.35">
      <c r="B110" s="3" t="s">
        <v>64</v>
      </c>
      <c r="C110" s="37">
        <f>SUM(C105:C109)</f>
        <v>5753057.5666666655</v>
      </c>
      <c r="D110" s="37">
        <f t="shared" ref="D110:O110" si="10">SUM(D105:D109)</f>
        <v>1833269.8794999991</v>
      </c>
      <c r="E110" s="37">
        <f t="shared" si="10"/>
        <v>1779097.4633849992</v>
      </c>
      <c r="F110" s="37">
        <f t="shared" si="10"/>
        <v>1845935.7081198827</v>
      </c>
      <c r="G110" s="37">
        <f t="shared" si="10"/>
        <v>1824237.0251968123</v>
      </c>
      <c r="H110" s="37">
        <f t="shared" si="10"/>
        <v>1863627.1817860501</v>
      </c>
      <c r="I110" s="37">
        <f t="shared" si="10"/>
        <v>1841009.4680729648</v>
      </c>
      <c r="J110" s="37">
        <f t="shared" si="10"/>
        <v>1880454.697948487</v>
      </c>
      <c r="K110" s="37">
        <f t="shared" si="10"/>
        <v>1826442.8763869419</v>
      </c>
      <c r="L110" s="37">
        <f t="shared" si="10"/>
        <v>1925869.8668452166</v>
      </c>
      <c r="M110" s="37">
        <f t="shared" si="10"/>
        <v>1878786.5586839069</v>
      </c>
      <c r="N110" s="37">
        <f t="shared" si="10"/>
        <v>1918352.2012777571</v>
      </c>
      <c r="O110" s="37">
        <f t="shared" si="10"/>
        <v>26170140.493869685</v>
      </c>
      <c r="P110" s="16"/>
    </row>
    <row r="111" spans="2:16" ht="17.5" x14ac:dyDescent="0.35">
      <c r="B111" s="3"/>
      <c r="C111" s="74">
        <f>C110-Consolidated!D26-Consolidated!D22</f>
        <v>0</v>
      </c>
      <c r="D111" s="74">
        <f>D110-Consolidated!E26-Consolidated!E22</f>
        <v>0</v>
      </c>
      <c r="E111" s="74">
        <f>E110-Consolidated!F26-Consolidated!F22</f>
        <v>0</v>
      </c>
      <c r="F111" s="74">
        <f>F110-Consolidated!G26-Consolidated!G22</f>
        <v>0</v>
      </c>
      <c r="G111" s="74">
        <f>G110-Consolidated!H26-Consolidated!H22</f>
        <v>0</v>
      </c>
      <c r="H111" s="74">
        <f>H110-Consolidated!I26-Consolidated!I22</f>
        <v>0</v>
      </c>
      <c r="I111" s="74">
        <f>I110-Consolidated!J26-Consolidated!J22</f>
        <v>0</v>
      </c>
      <c r="J111" s="74">
        <f>J110-Consolidated!K26-Consolidated!K22</f>
        <v>0</v>
      </c>
      <c r="K111" s="74">
        <f>K110-Consolidated!L26-Consolidated!L22</f>
        <v>0</v>
      </c>
      <c r="L111" s="74">
        <f>L110-Consolidated!M26-Consolidated!M22</f>
        <v>0</v>
      </c>
      <c r="M111" s="74">
        <f>M110-Consolidated!N26-Consolidated!N22</f>
        <v>0</v>
      </c>
      <c r="N111" s="74">
        <f>N110-Consolidated!O26-Consolidated!O22</f>
        <v>0</v>
      </c>
      <c r="O111" s="74">
        <f>O110-Consolidated!P26-Consolidated!P22</f>
        <v>0</v>
      </c>
      <c r="P111" s="16"/>
    </row>
    <row r="112" spans="2:16" ht="17.5" x14ac:dyDescent="0.35">
      <c r="B112" s="3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2:16" ht="18" x14ac:dyDescent="0.4">
      <c r="C113" s="21">
        <f>C104</f>
        <v>45292</v>
      </c>
      <c r="D113" s="21">
        <f t="shared" ref="D113:O113" si="11">D104</f>
        <v>45323</v>
      </c>
      <c r="E113" s="21">
        <f t="shared" si="11"/>
        <v>45354</v>
      </c>
      <c r="F113" s="21">
        <f t="shared" si="11"/>
        <v>45385</v>
      </c>
      <c r="G113" s="21">
        <f t="shared" si="11"/>
        <v>45416</v>
      </c>
      <c r="H113" s="21">
        <f t="shared" si="11"/>
        <v>45447</v>
      </c>
      <c r="I113" s="21">
        <f t="shared" si="11"/>
        <v>45478</v>
      </c>
      <c r="J113" s="21">
        <f t="shared" si="11"/>
        <v>45509</v>
      </c>
      <c r="K113" s="21">
        <f t="shared" si="11"/>
        <v>45540</v>
      </c>
      <c r="L113" s="21">
        <f t="shared" si="11"/>
        <v>45571</v>
      </c>
      <c r="M113" s="21">
        <f t="shared" si="11"/>
        <v>45602</v>
      </c>
      <c r="N113" s="21">
        <f t="shared" si="11"/>
        <v>45633</v>
      </c>
      <c r="O113" s="21" t="str">
        <f t="shared" si="11"/>
        <v>Total</v>
      </c>
      <c r="P113" s="16"/>
    </row>
    <row r="114" spans="2:16" ht="17.5" x14ac:dyDescent="0.35">
      <c r="B114" s="3" t="str">
        <f>B105</f>
        <v>Sales</v>
      </c>
      <c r="C114" s="49">
        <f t="shared" ref="C114:O114" si="12">C105/C$110</f>
        <v>0.18225380814458159</v>
      </c>
      <c r="D114" s="49">
        <f t="shared" si="12"/>
        <v>0.15864883438728858</v>
      </c>
      <c r="E114" s="49">
        <f t="shared" si="12"/>
        <v>0.14708228119617825</v>
      </c>
      <c r="F114" s="49">
        <f t="shared" si="12"/>
        <v>0.16350982510326292</v>
      </c>
      <c r="G114" s="49">
        <f t="shared" si="12"/>
        <v>0.14949077601400224</v>
      </c>
      <c r="H114" s="49">
        <f t="shared" si="12"/>
        <v>0.16790559552053913</v>
      </c>
      <c r="I114" s="49">
        <f t="shared" si="12"/>
        <v>0.1541789380565981</v>
      </c>
      <c r="J114" s="49">
        <f t="shared" si="12"/>
        <v>0.17235553807034593</v>
      </c>
      <c r="K114" s="49">
        <f t="shared" si="12"/>
        <v>0.161568129797758</v>
      </c>
      <c r="L114" s="49">
        <f t="shared" si="12"/>
        <v>0.17416300513665073</v>
      </c>
      <c r="M114" s="49">
        <f t="shared" si="12"/>
        <v>0.16311785955713839</v>
      </c>
      <c r="N114" s="49">
        <f t="shared" si="12"/>
        <v>0.18080410419251178</v>
      </c>
      <c r="O114" s="49">
        <f t="shared" si="12"/>
        <v>0.16737612324100543</v>
      </c>
      <c r="P114" s="16"/>
    </row>
    <row r="115" spans="2:16" ht="17.5" x14ac:dyDescent="0.35">
      <c r="B115" s="3" t="str">
        <f t="shared" ref="B115:B118" si="13">B106</f>
        <v>Marketing</v>
      </c>
      <c r="C115" s="49">
        <f t="shared" ref="C115:O115" si="14">C106/C$110</f>
        <v>0.55956103272551405</v>
      </c>
      <c r="D115" s="49">
        <f t="shared" si="14"/>
        <v>0.57229344411608396</v>
      </c>
      <c r="E115" s="49">
        <f t="shared" si="14"/>
        <v>0.58971942511633568</v>
      </c>
      <c r="F115" s="49">
        <f t="shared" si="14"/>
        <v>0.5683666710158225</v>
      </c>
      <c r="G115" s="49">
        <f t="shared" si="14"/>
        <v>0.57512720049092336</v>
      </c>
      <c r="H115" s="49">
        <f t="shared" si="14"/>
        <v>0.5629711476561734</v>
      </c>
      <c r="I115" s="49">
        <f t="shared" si="14"/>
        <v>0.5698875272116477</v>
      </c>
      <c r="J115" s="49">
        <f t="shared" si="14"/>
        <v>0.55793332031765519</v>
      </c>
      <c r="K115" s="49">
        <f t="shared" si="14"/>
        <v>0.57443260169668775</v>
      </c>
      <c r="L115" s="49">
        <f t="shared" si="14"/>
        <v>0.5447763379007452</v>
      </c>
      <c r="M115" s="49">
        <f t="shared" si="14"/>
        <v>0.55842869882371149</v>
      </c>
      <c r="N115" s="49">
        <f t="shared" si="14"/>
        <v>0.54691121507015927</v>
      </c>
      <c r="O115" s="49">
        <f t="shared" si="14"/>
        <v>0.56400302869820318</v>
      </c>
      <c r="P115" s="16"/>
    </row>
    <row r="116" spans="2:16" ht="17.5" x14ac:dyDescent="0.35">
      <c r="B116" s="3" t="str">
        <f t="shared" si="13"/>
        <v>IT</v>
      </c>
      <c r="C116" s="49">
        <f t="shared" ref="C116:O116" si="15">C107/C$110</f>
        <v>0.12301313839915397</v>
      </c>
      <c r="D116" s="49">
        <f t="shared" si="15"/>
        <v>0.14187127396882174</v>
      </c>
      <c r="E116" s="49">
        <f t="shared" si="15"/>
        <v>0.14619116641225277</v>
      </c>
      <c r="F116" s="49">
        <f t="shared" si="15"/>
        <v>0.14131315562755173</v>
      </c>
      <c r="G116" s="49">
        <f t="shared" si="15"/>
        <v>0.15366424216160007</v>
      </c>
      <c r="H116" s="49">
        <f t="shared" si="15"/>
        <v>0.14277891483191194</v>
      </c>
      <c r="I116" s="49">
        <f t="shared" si="15"/>
        <v>0.15457778550402751</v>
      </c>
      <c r="J116" s="49">
        <f t="shared" si="15"/>
        <v>0.14376620379542854</v>
      </c>
      <c r="K116" s="49">
        <f t="shared" si="15"/>
        <v>0.1480176778745633</v>
      </c>
      <c r="L116" s="49">
        <f t="shared" si="15"/>
        <v>0.15088117063485562</v>
      </c>
      <c r="M116" s="49">
        <f t="shared" si="15"/>
        <v>0.15807410300403688</v>
      </c>
      <c r="N116" s="49">
        <f t="shared" si="15"/>
        <v>0.1473942931221558</v>
      </c>
      <c r="O116" s="49">
        <f t="shared" si="15"/>
        <v>0.14255674328053058</v>
      </c>
      <c r="P116" s="16"/>
    </row>
    <row r="117" spans="2:16" ht="17.5" x14ac:dyDescent="0.35">
      <c r="B117" s="3" t="str">
        <f t="shared" si="13"/>
        <v>HR</v>
      </c>
      <c r="C117" s="49">
        <f t="shared" ref="C117:O117" si="16">C108/C$110</f>
        <v>0.13517202073075035</v>
      </c>
      <c r="D117" s="49">
        <f t="shared" si="16"/>
        <v>0.12718644752780564</v>
      </c>
      <c r="E117" s="49">
        <f t="shared" si="16"/>
        <v>0.11700712727523326</v>
      </c>
      <c r="F117" s="49">
        <f t="shared" si="16"/>
        <v>0.12681034825336263</v>
      </c>
      <c r="G117" s="49">
        <f t="shared" si="16"/>
        <v>0.12171778133347429</v>
      </c>
      <c r="H117" s="49">
        <f t="shared" si="16"/>
        <v>0.12634434199137543</v>
      </c>
      <c r="I117" s="49">
        <f t="shared" si="16"/>
        <v>0.1213557492277267</v>
      </c>
      <c r="J117" s="49">
        <f t="shared" si="16"/>
        <v>0.1259449378165704</v>
      </c>
      <c r="K117" s="49">
        <f t="shared" si="16"/>
        <v>0.11598159063099094</v>
      </c>
      <c r="L117" s="49">
        <f t="shared" si="16"/>
        <v>0.13017948632774859</v>
      </c>
      <c r="M117" s="49">
        <f t="shared" si="16"/>
        <v>0.12037933861511317</v>
      </c>
      <c r="N117" s="49">
        <f t="shared" si="16"/>
        <v>0.12489038761517322</v>
      </c>
      <c r="O117" s="49">
        <f t="shared" si="16"/>
        <v>0.12606410478026073</v>
      </c>
      <c r="P117" s="16"/>
    </row>
    <row r="118" spans="2:16" ht="17.5" x14ac:dyDescent="0.35">
      <c r="B118" s="3" t="str">
        <f t="shared" si="13"/>
        <v>Central</v>
      </c>
      <c r="C118" s="62">
        <f t="shared" ref="C118:O118" si="17">C109/C$110</f>
        <v>0</v>
      </c>
      <c r="D118" s="62">
        <f t="shared" si="17"/>
        <v>0</v>
      </c>
      <c r="E118" s="62">
        <f t="shared" si="17"/>
        <v>0</v>
      </c>
      <c r="F118" s="62">
        <f t="shared" si="17"/>
        <v>0</v>
      </c>
      <c r="G118" s="62">
        <f t="shared" si="17"/>
        <v>0</v>
      </c>
      <c r="H118" s="62">
        <f t="shared" si="17"/>
        <v>0</v>
      </c>
      <c r="I118" s="62">
        <f t="shared" si="17"/>
        <v>0</v>
      </c>
      <c r="J118" s="62">
        <f t="shared" si="17"/>
        <v>0</v>
      </c>
      <c r="K118" s="62">
        <f t="shared" si="17"/>
        <v>0</v>
      </c>
      <c r="L118" s="62">
        <f t="shared" si="17"/>
        <v>0</v>
      </c>
      <c r="M118" s="62">
        <f t="shared" si="17"/>
        <v>0</v>
      </c>
      <c r="N118" s="62">
        <f t="shared" si="17"/>
        <v>0</v>
      </c>
      <c r="O118" s="62">
        <f t="shared" si="17"/>
        <v>0</v>
      </c>
      <c r="P118" s="16"/>
    </row>
    <row r="119" spans="2:16" ht="17.5" x14ac:dyDescent="0.35">
      <c r="B119" s="3" t="s">
        <v>16</v>
      </c>
      <c r="C119" s="49">
        <f t="shared" ref="C119:O119" si="18">SUM(C114:C118)</f>
        <v>1</v>
      </c>
      <c r="D119" s="49">
        <f t="shared" si="18"/>
        <v>0.99999999999999989</v>
      </c>
      <c r="E119" s="49">
        <f t="shared" si="18"/>
        <v>0.99999999999999989</v>
      </c>
      <c r="F119" s="49">
        <f t="shared" si="18"/>
        <v>0.99999999999999978</v>
      </c>
      <c r="G119" s="49">
        <f t="shared" si="18"/>
        <v>1</v>
      </c>
      <c r="H119" s="49">
        <f t="shared" si="18"/>
        <v>0.99999999999999989</v>
      </c>
      <c r="I119" s="49">
        <f t="shared" si="18"/>
        <v>1</v>
      </c>
      <c r="J119" s="49">
        <f t="shared" si="18"/>
        <v>1.0000000000000002</v>
      </c>
      <c r="K119" s="49">
        <f t="shared" si="18"/>
        <v>1</v>
      </c>
      <c r="L119" s="49">
        <f t="shared" si="18"/>
        <v>1.0000000000000002</v>
      </c>
      <c r="M119" s="49">
        <f t="shared" si="18"/>
        <v>1</v>
      </c>
      <c r="N119" s="49">
        <f t="shared" si="18"/>
        <v>1</v>
      </c>
      <c r="O119" s="49">
        <f t="shared" si="18"/>
        <v>0.99999999999999989</v>
      </c>
      <c r="P119" s="16"/>
    </row>
    <row r="120" spans="2:16" ht="17.5" x14ac:dyDescent="0.35">
      <c r="B120" s="3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16"/>
    </row>
    <row r="121" spans="2:16" ht="18" x14ac:dyDescent="0.4">
      <c r="B121" s="4" t="s">
        <v>116</v>
      </c>
      <c r="C121" s="21">
        <f>C113</f>
        <v>45292</v>
      </c>
      <c r="D121" s="21">
        <f t="shared" ref="D121:N121" si="19">D113</f>
        <v>45323</v>
      </c>
      <c r="E121" s="21">
        <f t="shared" si="19"/>
        <v>45354</v>
      </c>
      <c r="F121" s="21">
        <f t="shared" si="19"/>
        <v>45385</v>
      </c>
      <c r="G121" s="21">
        <f t="shared" si="19"/>
        <v>45416</v>
      </c>
      <c r="H121" s="21">
        <f t="shared" si="19"/>
        <v>45447</v>
      </c>
      <c r="I121" s="21">
        <f t="shared" si="19"/>
        <v>45478</v>
      </c>
      <c r="J121" s="21">
        <f t="shared" si="19"/>
        <v>45509</v>
      </c>
      <c r="K121" s="21">
        <f t="shared" si="19"/>
        <v>45540</v>
      </c>
      <c r="L121" s="21">
        <f t="shared" si="19"/>
        <v>45571</v>
      </c>
      <c r="M121" s="21">
        <f t="shared" si="19"/>
        <v>45602</v>
      </c>
      <c r="N121" s="21">
        <f t="shared" si="19"/>
        <v>45633</v>
      </c>
      <c r="O121" s="49"/>
      <c r="P121" s="16"/>
    </row>
    <row r="122" spans="2:16" ht="17.5" x14ac:dyDescent="0.35">
      <c r="B122" s="3" t="str">
        <f>Headcount!B5</f>
        <v>Sales</v>
      </c>
      <c r="C122" s="23">
        <f>Headcount!D5</f>
        <v>47</v>
      </c>
      <c r="D122" s="23">
        <f>Headcount!E5</f>
        <v>49</v>
      </c>
      <c r="E122" s="23">
        <f>Headcount!F5</f>
        <v>49</v>
      </c>
      <c r="F122" s="23">
        <f>Headcount!G5</f>
        <v>51</v>
      </c>
      <c r="G122" s="23">
        <f>Headcount!H5</f>
        <v>51</v>
      </c>
      <c r="H122" s="23">
        <f>Headcount!I5</f>
        <v>53</v>
      </c>
      <c r="I122" s="23">
        <f>Headcount!J5</f>
        <v>53</v>
      </c>
      <c r="J122" s="23">
        <f>Headcount!K5</f>
        <v>55</v>
      </c>
      <c r="K122" s="23">
        <f>Headcount!L5</f>
        <v>55</v>
      </c>
      <c r="L122" s="23">
        <f>Headcount!M5</f>
        <v>57</v>
      </c>
      <c r="M122" s="23">
        <f>Headcount!N5</f>
        <v>57</v>
      </c>
      <c r="N122" s="23">
        <f>Headcount!O5</f>
        <v>59</v>
      </c>
      <c r="O122" s="49"/>
      <c r="P122" s="16"/>
    </row>
    <row r="123" spans="2:16" ht="17.5" x14ac:dyDescent="0.35">
      <c r="B123" s="3" t="str">
        <f>Headcount!B6</f>
        <v>Marketing</v>
      </c>
      <c r="C123" s="23">
        <f>Headcount!D6</f>
        <v>82</v>
      </c>
      <c r="D123" s="23">
        <f>Headcount!E6</f>
        <v>82</v>
      </c>
      <c r="E123" s="23">
        <f>Headcount!F6</f>
        <v>82</v>
      </c>
      <c r="F123" s="23">
        <f>Headcount!G6</f>
        <v>82</v>
      </c>
      <c r="G123" s="23">
        <f>Headcount!H6</f>
        <v>82</v>
      </c>
      <c r="H123" s="23">
        <f>Headcount!I6</f>
        <v>82</v>
      </c>
      <c r="I123" s="23">
        <f>Headcount!J6</f>
        <v>82</v>
      </c>
      <c r="J123" s="23">
        <f>Headcount!K6</f>
        <v>82</v>
      </c>
      <c r="K123" s="23">
        <f>Headcount!L6</f>
        <v>82</v>
      </c>
      <c r="L123" s="23">
        <f>Headcount!M6</f>
        <v>82</v>
      </c>
      <c r="M123" s="23">
        <f>Headcount!N6</f>
        <v>82</v>
      </c>
      <c r="N123" s="23">
        <f>Headcount!O6</f>
        <v>82</v>
      </c>
      <c r="O123" s="49"/>
      <c r="P123" s="16"/>
    </row>
    <row r="124" spans="2:16" ht="17.5" x14ac:dyDescent="0.35">
      <c r="B124" s="3" t="str">
        <f>Headcount!B8</f>
        <v>IT</v>
      </c>
      <c r="C124" s="23">
        <f>Headcount!D8</f>
        <v>21</v>
      </c>
      <c r="D124" s="23">
        <f>Headcount!E8</f>
        <v>21</v>
      </c>
      <c r="E124" s="23">
        <f>Headcount!F8</f>
        <v>21</v>
      </c>
      <c r="F124" s="23">
        <f>Headcount!G8</f>
        <v>21</v>
      </c>
      <c r="G124" s="23">
        <f>Headcount!H8</f>
        <v>22</v>
      </c>
      <c r="H124" s="23">
        <f>Headcount!I8</f>
        <v>22</v>
      </c>
      <c r="I124" s="23">
        <f>Headcount!J8</f>
        <v>23</v>
      </c>
      <c r="J124" s="23">
        <f>Headcount!K8</f>
        <v>23</v>
      </c>
      <c r="K124" s="23">
        <f>Headcount!L8</f>
        <v>23</v>
      </c>
      <c r="L124" s="23">
        <f>Headcount!M8</f>
        <v>24</v>
      </c>
      <c r="M124" s="23">
        <f>Headcount!N8</f>
        <v>25</v>
      </c>
      <c r="N124" s="23">
        <f>Headcount!O8</f>
        <v>25</v>
      </c>
      <c r="O124" s="49"/>
      <c r="P124" s="16"/>
    </row>
    <row r="125" spans="2:16" ht="17.5" x14ac:dyDescent="0.35">
      <c r="B125" s="3" t="str">
        <f>Headcount!B7</f>
        <v>HR</v>
      </c>
      <c r="C125" s="23">
        <f>Headcount!D7</f>
        <v>22</v>
      </c>
      <c r="D125" s="23">
        <f>Headcount!E7</f>
        <v>22</v>
      </c>
      <c r="E125" s="23">
        <f>Headcount!F7</f>
        <v>22</v>
      </c>
      <c r="F125" s="23">
        <f>Headcount!G7</f>
        <v>22</v>
      </c>
      <c r="G125" s="23">
        <f>Headcount!H7</f>
        <v>22</v>
      </c>
      <c r="H125" s="23">
        <f>Headcount!I7</f>
        <v>22</v>
      </c>
      <c r="I125" s="23">
        <f>Headcount!J7</f>
        <v>22</v>
      </c>
      <c r="J125" s="23">
        <f>Headcount!K7</f>
        <v>22</v>
      </c>
      <c r="K125" s="23">
        <f>Headcount!L7</f>
        <v>22</v>
      </c>
      <c r="L125" s="23">
        <f>Headcount!M7</f>
        <v>22</v>
      </c>
      <c r="M125" s="23">
        <f>Headcount!N7</f>
        <v>22</v>
      </c>
      <c r="N125" s="23">
        <f>Headcount!O7</f>
        <v>22</v>
      </c>
      <c r="O125" s="49"/>
      <c r="P125" s="16"/>
    </row>
    <row r="126" spans="2:16" ht="17.5" x14ac:dyDescent="0.35">
      <c r="B126" s="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49"/>
      <c r="P126" s="16"/>
    </row>
    <row r="127" spans="2:16" ht="18" x14ac:dyDescent="0.4">
      <c r="B127" s="4" t="s">
        <v>117</v>
      </c>
      <c r="C127" s="21">
        <f t="shared" ref="C127:N127" si="20">C121</f>
        <v>45292</v>
      </c>
      <c r="D127" s="21">
        <f t="shared" si="20"/>
        <v>45323</v>
      </c>
      <c r="E127" s="21">
        <f t="shared" si="20"/>
        <v>45354</v>
      </c>
      <c r="F127" s="21">
        <f t="shared" si="20"/>
        <v>45385</v>
      </c>
      <c r="G127" s="21">
        <f t="shared" si="20"/>
        <v>45416</v>
      </c>
      <c r="H127" s="21">
        <f t="shared" si="20"/>
        <v>45447</v>
      </c>
      <c r="I127" s="21">
        <f t="shared" si="20"/>
        <v>45478</v>
      </c>
      <c r="J127" s="21">
        <f t="shared" si="20"/>
        <v>45509</v>
      </c>
      <c r="K127" s="21">
        <f t="shared" si="20"/>
        <v>45540</v>
      </c>
      <c r="L127" s="21">
        <f t="shared" si="20"/>
        <v>45571</v>
      </c>
      <c r="M127" s="21">
        <f t="shared" si="20"/>
        <v>45602</v>
      </c>
      <c r="N127" s="21">
        <f t="shared" si="20"/>
        <v>45633</v>
      </c>
      <c r="O127" s="49"/>
      <c r="P127" s="16"/>
    </row>
    <row r="128" spans="2:16" ht="17.5" x14ac:dyDescent="0.35">
      <c r="B128" s="3" t="str">
        <f>B122</f>
        <v>Sales</v>
      </c>
      <c r="C128" s="63">
        <f>+Sales!D26</f>
        <v>317277.33333333326</v>
      </c>
      <c r="D128" s="63">
        <f>+Sales!E26</f>
        <v>237408.45333333322</v>
      </c>
      <c r="E128" s="63">
        <f>+Sales!F26</f>
        <v>238202.70693333322</v>
      </c>
      <c r="F128" s="63">
        <f>+Sales!G26</f>
        <v>247420.78814133321</v>
      </c>
      <c r="G128" s="63">
        <f>+Sales!H26</f>
        <v>248263.41178557323</v>
      </c>
      <c r="H128" s="63">
        <f>+Sales!I26</f>
        <v>257531.31413914042</v>
      </c>
      <c r="I128" s="63">
        <f>+Sales!J26</f>
        <v>258425.25356331459</v>
      </c>
      <c r="J128" s="63">
        <f>+Sales!K26</f>
        <v>267746.01117021416</v>
      </c>
      <c r="K128" s="63">
        <f>+Sales!L26</f>
        <v>268694.3915053205</v>
      </c>
      <c r="L128" s="63">
        <f>+Sales!M26</f>
        <v>278071.22325048025</v>
      </c>
      <c r="M128" s="63">
        <f>+Sales!N26</f>
        <v>279077.35994799464</v>
      </c>
      <c r="N128" s="63">
        <f>+Sales!O26</f>
        <v>288513.68074643431</v>
      </c>
      <c r="O128" s="49"/>
      <c r="P128" s="16"/>
    </row>
    <row r="129" spans="2:16" ht="17.5" x14ac:dyDescent="0.35">
      <c r="B129" s="3" t="str">
        <f>B123</f>
        <v>Marketing</v>
      </c>
      <c r="C129" s="63">
        <f>Marketing!D35</f>
        <v>1346426.6666666665</v>
      </c>
      <c r="D129" s="63">
        <f>Marketing!E35</f>
        <v>444266.6666666664</v>
      </c>
      <c r="E129" s="63">
        <f>Marketing!F35</f>
        <v>444266.6666666664</v>
      </c>
      <c r="F129" s="63">
        <f>Marketing!G35</f>
        <v>444266.6666666664</v>
      </c>
      <c r="G129" s="63">
        <f>Marketing!H35</f>
        <v>444266.6666666664</v>
      </c>
      <c r="H129" s="63">
        <f>Marketing!I35</f>
        <v>444266.6666666664</v>
      </c>
      <c r="I129" s="63">
        <f>Marketing!J35</f>
        <v>444266.6666666664</v>
      </c>
      <c r="J129" s="63">
        <f>Marketing!K35</f>
        <v>444266.6666666664</v>
      </c>
      <c r="K129" s="63">
        <f>Marketing!L35</f>
        <v>444266.6666666664</v>
      </c>
      <c r="L129" s="63">
        <f>Marketing!M35</f>
        <v>444266.6666666664</v>
      </c>
      <c r="M129" s="63">
        <f>Marketing!N35</f>
        <v>444266.6666666664</v>
      </c>
      <c r="N129" s="63">
        <f>Marketing!O35</f>
        <v>444266.6666666664</v>
      </c>
      <c r="O129" s="49"/>
      <c r="P129" s="16"/>
    </row>
    <row r="130" spans="2:16" ht="17.5" x14ac:dyDescent="0.35">
      <c r="B130" s="3" t="str">
        <f>B125</f>
        <v>HR</v>
      </c>
      <c r="C130" s="63">
        <f>HR!D28</f>
        <v>344119.99999999994</v>
      </c>
      <c r="D130" s="63">
        <f>HR!E28</f>
        <v>113399.99999999994</v>
      </c>
      <c r="E130" s="63">
        <f>HR!F28</f>
        <v>113399.99999999994</v>
      </c>
      <c r="F130" s="63">
        <f>HR!G28</f>
        <v>113399.99999999994</v>
      </c>
      <c r="G130" s="63">
        <f>HR!H28</f>
        <v>113399.99999999994</v>
      </c>
      <c r="H130" s="63">
        <f>HR!I28</f>
        <v>113399.99999999994</v>
      </c>
      <c r="I130" s="63">
        <f>HR!J28</f>
        <v>113399.99999999994</v>
      </c>
      <c r="J130" s="63">
        <f>HR!K28</f>
        <v>113399.99999999994</v>
      </c>
      <c r="K130" s="63">
        <f>HR!L28</f>
        <v>113399.99999999994</v>
      </c>
      <c r="L130" s="63">
        <f>HR!M28</f>
        <v>113399.99999999994</v>
      </c>
      <c r="M130" s="63">
        <f>HR!N28</f>
        <v>113399.99999999994</v>
      </c>
      <c r="N130" s="63">
        <f>HR!O28</f>
        <v>113399.99999999994</v>
      </c>
      <c r="O130" s="49"/>
      <c r="P130" s="16"/>
    </row>
    <row r="131" spans="2:16" ht="17.5" x14ac:dyDescent="0.35">
      <c r="B131" s="3" t="str">
        <f t="shared" ref="B131" si="21">B124</f>
        <v>IT</v>
      </c>
      <c r="C131" s="63">
        <f>IT!D29</f>
        <v>238933.33333333331</v>
      </c>
      <c r="D131" s="63">
        <f>IT!E29</f>
        <v>82133.333333333299</v>
      </c>
      <c r="E131" s="63">
        <f>IT!F29</f>
        <v>82133.333333333299</v>
      </c>
      <c r="F131" s="63">
        <f>IT!G29</f>
        <v>82133.333333333299</v>
      </c>
      <c r="G131" s="63">
        <f>IT!H29</f>
        <v>85866.666666666628</v>
      </c>
      <c r="H131" s="63">
        <f>IT!I29</f>
        <v>85866.666666666628</v>
      </c>
      <c r="I131" s="63">
        <f>IT!J29</f>
        <v>88666.666666666628</v>
      </c>
      <c r="J131" s="63">
        <f>IT!K29</f>
        <v>88666.666666666628</v>
      </c>
      <c r="K131" s="63">
        <f>IT!L29</f>
        <v>88666.666666666628</v>
      </c>
      <c r="L131" s="63">
        <f>IT!M29</f>
        <v>92399.999999999956</v>
      </c>
      <c r="M131" s="63">
        <f>IT!N29</f>
        <v>97999.999999999956</v>
      </c>
      <c r="N131" s="63">
        <f>IT!O29</f>
        <v>97999.999999999956</v>
      </c>
      <c r="O131" s="49"/>
      <c r="P131" s="16"/>
    </row>
    <row r="132" spans="2:16" ht="17.5" x14ac:dyDescent="0.35">
      <c r="B132" s="3" t="s">
        <v>16</v>
      </c>
      <c r="C132" s="63">
        <f>SUM(C128:C131)</f>
        <v>2246757.333333333</v>
      </c>
      <c r="D132" s="63">
        <f t="shared" ref="D132:N132" si="22">SUM(D128:D131)</f>
        <v>877208.4533333329</v>
      </c>
      <c r="E132" s="63">
        <f t="shared" si="22"/>
        <v>878002.70693333284</v>
      </c>
      <c r="F132" s="63">
        <f t="shared" si="22"/>
        <v>887220.7881413328</v>
      </c>
      <c r="G132" s="63">
        <f t="shared" si="22"/>
        <v>891796.74511890614</v>
      </c>
      <c r="H132" s="63">
        <f t="shared" si="22"/>
        <v>901064.64747247344</v>
      </c>
      <c r="I132" s="63">
        <f t="shared" si="22"/>
        <v>904758.58689664758</v>
      </c>
      <c r="J132" s="63">
        <f t="shared" si="22"/>
        <v>914079.34450354718</v>
      </c>
      <c r="K132" s="63">
        <f t="shared" si="22"/>
        <v>915027.72483865346</v>
      </c>
      <c r="L132" s="63">
        <f t="shared" si="22"/>
        <v>928137.88991714665</v>
      </c>
      <c r="M132" s="63">
        <f t="shared" si="22"/>
        <v>934744.0266146611</v>
      </c>
      <c r="N132" s="63">
        <f t="shared" si="22"/>
        <v>944180.34741310077</v>
      </c>
      <c r="O132" s="49"/>
      <c r="P132" s="16"/>
    </row>
    <row r="133" spans="2:16" ht="17.5" x14ac:dyDescent="0.35">
      <c r="B133" s="3"/>
      <c r="C133" s="63">
        <f>C132-Consolidated!D14</f>
        <v>0</v>
      </c>
      <c r="D133" s="63">
        <f>D132-Consolidated!E14</f>
        <v>0</v>
      </c>
      <c r="E133" s="63">
        <f>E132-Consolidated!F14</f>
        <v>0</v>
      </c>
      <c r="F133" s="63">
        <f>F132-Consolidated!G14</f>
        <v>0</v>
      </c>
      <c r="G133" s="63">
        <f>G132-Consolidated!H14</f>
        <v>0</v>
      </c>
      <c r="H133" s="63">
        <f>H132-Consolidated!I14</f>
        <v>0</v>
      </c>
      <c r="I133" s="63">
        <f>I132-Consolidated!J14</f>
        <v>0</v>
      </c>
      <c r="J133" s="63">
        <f>J132-Consolidated!K14</f>
        <v>0</v>
      </c>
      <c r="K133" s="63">
        <f>K132-Consolidated!L14</f>
        <v>0</v>
      </c>
      <c r="L133" s="63">
        <f>L132-Consolidated!M14</f>
        <v>0</v>
      </c>
      <c r="M133" s="63">
        <f>M132-Consolidated!N14</f>
        <v>0</v>
      </c>
      <c r="N133" s="63">
        <f>N132-Consolidated!O14</f>
        <v>0</v>
      </c>
      <c r="O133" s="49"/>
      <c r="P133" s="16"/>
    </row>
  </sheetData>
  <mergeCells count="3">
    <mergeCell ref="B2:P2"/>
    <mergeCell ref="B85:P85"/>
    <mergeCell ref="B3:P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Revenue</vt:lpstr>
      <vt:lpstr>Sales</vt:lpstr>
      <vt:lpstr>Marketing</vt:lpstr>
      <vt:lpstr>IT</vt:lpstr>
      <vt:lpstr>HR</vt:lpstr>
      <vt:lpstr>Headcount</vt:lpstr>
      <vt:lpstr>Consolidated</vt:lpstr>
      <vt:lpstr>Graphs</vt:lpstr>
      <vt:lpstr>factor</vt:lpstr>
    </vt:vector>
  </TitlesOfParts>
  <Manager>You Exec (https://youexec.com/plus)</Manager>
  <Company>You Exec (https://youexec.com/plus)</Company>
  <LinksUpToDate>false</LinksUpToDate>
  <SharedDoc>false</SharedDoc>
  <HyperlinkBase>You Exec (https://youexec.com/plus)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You Exec (https://youexec.com/plus)</dc:title>
  <dc:subject>You Exec (https://youexec.com/plus)</dc:subject>
  <dc:creator>You Exec (https://youexec.com/plus)</dc:creator>
  <cp:keywords>You Exec (https:/youexec.com/plus)</cp:keywords>
  <dc:description>You Exec (https://youexec.com/plus)</dc:description>
  <cp:lastModifiedBy>Michele Baroni</cp:lastModifiedBy>
  <dcterms:created xsi:type="dcterms:W3CDTF">2019-07-28T13:26:40Z</dcterms:created>
  <dcterms:modified xsi:type="dcterms:W3CDTF">2024-02-01T13:21:31Z</dcterms:modified>
  <cp:category>You Exec (https://youexec.com/plus)</cp:category>
</cp:coreProperties>
</file>